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CONG VAN DI\DI NAM 2024\THANG 10\phương án tự chủ\"/>
    </mc:Choice>
  </mc:AlternateContent>
  <bookViews>
    <workbookView xWindow="0" yWindow="0" windowWidth="20670" windowHeight="7815" tabRatio="830" firstSheet="1" activeTab="8"/>
  </bookViews>
  <sheets>
    <sheet name="TC-01-2024" sheetId="32" r:id="rId1"/>
    <sheet name="TC-01-2025" sheetId="33" r:id="rId2"/>
    <sheet name="HP 2024" sheetId="35" r:id="rId3"/>
    <sheet name="HP 2025" sheetId="9" r:id="rId4"/>
    <sheet name="PA GĐ 2024-2025 " sheetId="34" r:id="rId5"/>
    <sheet name="Nâng lương 2024" sheetId="30" r:id="rId6"/>
    <sheet name="Nâng lương 2025 " sheetId="31" r:id="rId7"/>
    <sheet name="Nâng TNN 2024" sheetId="26" r:id="rId8"/>
    <sheet name="Nâng TNN 2025" sheetId="27" r:id="rId9"/>
  </sheets>
  <definedNames>
    <definedName name="_xlnm.Print_Area" localSheetId="4">'PA GĐ 2024-2025 '!$A$1:$S$76</definedName>
    <definedName name="_xlnm.Print_Titles" localSheetId="4">'PA GĐ 2024-2025 '!$7:$9</definedName>
    <definedName name="_xlnm.Print_Titles" localSheetId="0">'TC-01-2024'!$4:$7</definedName>
    <definedName name="_xlnm.Print_Titles" localSheetId="1">'TC-01-2025'!$4:$6</definedName>
  </definedNames>
  <calcPr calcId="152511"/>
</workbook>
</file>

<file path=xl/calcChain.xml><?xml version="1.0" encoding="utf-8"?>
<calcChain xmlns="http://schemas.openxmlformats.org/spreadsheetml/2006/main">
  <c r="N47" i="32" l="1"/>
  <c r="N48" i="32"/>
  <c r="N52" i="32"/>
  <c r="N53" i="32"/>
  <c r="N54" i="32"/>
  <c r="N55" i="32"/>
  <c r="N56" i="32"/>
  <c r="G52" i="32" l="1"/>
  <c r="E52" i="32" s="1"/>
  <c r="V52" i="32" s="1"/>
  <c r="G53" i="32"/>
  <c r="E53" i="32" s="1"/>
  <c r="V53" i="32" s="1"/>
  <c r="G54" i="32"/>
  <c r="E54" i="32" s="1"/>
  <c r="V54" i="32" s="1"/>
  <c r="G55" i="32"/>
  <c r="E55" i="32" s="1"/>
  <c r="V55" i="32" s="1"/>
  <c r="G56" i="32"/>
  <c r="E56" i="32" s="1"/>
  <c r="V56" i="32" s="1"/>
  <c r="T52" i="32"/>
  <c r="U52" i="32"/>
  <c r="T53" i="32"/>
  <c r="U53" i="32"/>
  <c r="T54" i="32"/>
  <c r="U54" i="32"/>
  <c r="T55" i="32"/>
  <c r="U55" i="32"/>
  <c r="T56" i="32"/>
  <c r="U56" i="32"/>
  <c r="G51" i="32"/>
  <c r="F51" i="32"/>
  <c r="U51" i="32" s="1"/>
  <c r="F18" i="34"/>
  <c r="T51" i="32" l="1"/>
  <c r="E51" i="32" s="1"/>
  <c r="V51" i="32" s="1"/>
  <c r="K10" i="9"/>
  <c r="K11" i="9"/>
  <c r="K12" i="9"/>
  <c r="K9" i="9"/>
  <c r="C10" i="9"/>
  <c r="C11" i="9"/>
  <c r="C12" i="9"/>
  <c r="C9" i="9"/>
  <c r="K10" i="35"/>
  <c r="K11" i="35"/>
  <c r="K12" i="35"/>
  <c r="K9" i="35"/>
  <c r="D26" i="34" l="1"/>
  <c r="C37" i="34"/>
  <c r="C31" i="34"/>
  <c r="C38" i="34"/>
  <c r="C36" i="34"/>
  <c r="C32" i="34"/>
  <c r="C34" i="34" l="1"/>
  <c r="E61" i="34" l="1"/>
  <c r="E60" i="34"/>
  <c r="D61" i="34"/>
  <c r="D60" i="34"/>
  <c r="E27" i="34" l="1"/>
  <c r="E26" i="34"/>
  <c r="Q10" i="9"/>
  <c r="Q11" i="9"/>
  <c r="Q12" i="9"/>
  <c r="Q9" i="9"/>
  <c r="F48" i="27"/>
  <c r="H48" i="27" s="1"/>
  <c r="M12" i="27"/>
  <c r="M13" i="27"/>
  <c r="M14" i="27"/>
  <c r="M15" i="27"/>
  <c r="M16" i="27"/>
  <c r="M17" i="27"/>
  <c r="M18" i="27"/>
  <c r="M19" i="27"/>
  <c r="M20" i="27"/>
  <c r="M21" i="27"/>
  <c r="M22" i="27"/>
  <c r="M23" i="27"/>
  <c r="M24" i="27"/>
  <c r="M25" i="27"/>
  <c r="M26" i="27"/>
  <c r="M27" i="27"/>
  <c r="M28" i="27"/>
  <c r="M29" i="27"/>
  <c r="M30" i="27"/>
  <c r="M31" i="27"/>
  <c r="M32" i="27"/>
  <c r="M33" i="27"/>
  <c r="M34" i="27"/>
  <c r="M35" i="27"/>
  <c r="M36" i="27"/>
  <c r="M37" i="27"/>
  <c r="M38" i="27"/>
  <c r="M39" i="27"/>
  <c r="M40" i="27"/>
  <c r="M41" i="27"/>
  <c r="M42" i="27"/>
  <c r="M43" i="27"/>
  <c r="M44" i="27"/>
  <c r="M45" i="27"/>
  <c r="M46" i="27"/>
  <c r="M47" i="27"/>
  <c r="M11" i="27"/>
  <c r="M12" i="26"/>
  <c r="M13" i="26"/>
  <c r="M14" i="26"/>
  <c r="M15" i="26"/>
  <c r="M16" i="26"/>
  <c r="M17" i="26"/>
  <c r="M18" i="26"/>
  <c r="M19" i="26"/>
  <c r="M20" i="26"/>
  <c r="M21" i="26"/>
  <c r="M22" i="26"/>
  <c r="M23" i="26"/>
  <c r="M24" i="26"/>
  <c r="M25" i="26"/>
  <c r="M26" i="26"/>
  <c r="M27" i="26"/>
  <c r="M28" i="26"/>
  <c r="M29" i="26"/>
  <c r="M30" i="26"/>
  <c r="M31" i="26"/>
  <c r="M32" i="26"/>
  <c r="M33" i="26"/>
  <c r="M34" i="26"/>
  <c r="M35" i="26"/>
  <c r="M36" i="26"/>
  <c r="M37" i="26"/>
  <c r="M38" i="26"/>
  <c r="M39" i="26"/>
  <c r="M40" i="26"/>
  <c r="M41" i="26"/>
  <c r="M42" i="26"/>
  <c r="M43" i="26"/>
  <c r="M44" i="26"/>
  <c r="M45" i="26"/>
  <c r="M46" i="26"/>
  <c r="M47" i="26"/>
  <c r="M48" i="26"/>
  <c r="M11" i="26"/>
  <c r="D27" i="34"/>
  <c r="I48" i="27" l="1"/>
  <c r="J48" i="27"/>
  <c r="L48" i="27" s="1"/>
  <c r="M48" i="27" s="1"/>
  <c r="U12" i="35" l="1"/>
  <c r="Q10" i="35"/>
  <c r="Q11" i="35"/>
  <c r="Q12" i="35"/>
  <c r="Q9" i="35"/>
  <c r="Q8" i="35" l="1"/>
  <c r="U13" i="35" s="1"/>
  <c r="C61" i="34"/>
  <c r="C60" i="34"/>
  <c r="C52" i="34"/>
  <c r="C51" i="34"/>
  <c r="C44" i="34"/>
  <c r="C29" i="34"/>
  <c r="C27" i="34" s="1"/>
  <c r="C26" i="34" s="1"/>
  <c r="F27" i="34" s="1"/>
  <c r="C25" i="34"/>
  <c r="C14" i="34"/>
  <c r="E21" i="31" l="1"/>
  <c r="M21" i="31" s="1"/>
  <c r="L17" i="31"/>
  <c r="N17" i="31" s="1"/>
  <c r="E17" i="31"/>
  <c r="M17" i="31" s="1"/>
  <c r="H27" i="26"/>
  <c r="F27" i="26"/>
  <c r="D19" i="31"/>
  <c r="D22" i="31"/>
  <c r="D16" i="31"/>
  <c r="D15" i="31"/>
  <c r="D14" i="31"/>
  <c r="D12" i="31"/>
  <c r="D11" i="31"/>
  <c r="D17" i="30"/>
  <c r="E17" i="30" s="1"/>
  <c r="D24" i="30"/>
  <c r="D23" i="30"/>
  <c r="D21" i="30"/>
  <c r="D20" i="30"/>
  <c r="D19" i="30"/>
  <c r="D15" i="30"/>
  <c r="D14" i="30"/>
  <c r="D13" i="30"/>
  <c r="D12" i="30"/>
  <c r="D10" i="30"/>
  <c r="C12" i="35"/>
  <c r="C11" i="35"/>
  <c r="C10" i="35"/>
  <c r="C9" i="35"/>
  <c r="U50" i="33"/>
  <c r="T50" i="33"/>
  <c r="G50" i="33"/>
  <c r="E50" i="33" s="1"/>
  <c r="V50" i="33" s="1"/>
  <c r="U49" i="33"/>
  <c r="T49" i="33"/>
  <c r="G49" i="33"/>
  <c r="E49" i="33" s="1"/>
  <c r="V49" i="33" s="1"/>
  <c r="U48" i="33"/>
  <c r="T48" i="33"/>
  <c r="G48" i="33"/>
  <c r="E48" i="33"/>
  <c r="V48" i="33" s="1"/>
  <c r="U47" i="33"/>
  <c r="T47" i="33"/>
  <c r="N47" i="33"/>
  <c r="G47" i="33" s="1"/>
  <c r="E47" i="33" s="1"/>
  <c r="V47" i="33" s="1"/>
  <c r="U46" i="33"/>
  <c r="T46" i="33"/>
  <c r="N46" i="33"/>
  <c r="G46" i="33"/>
  <c r="U45" i="33"/>
  <c r="T45" i="33"/>
  <c r="N45" i="33"/>
  <c r="G45" i="33" s="1"/>
  <c r="E45" i="33" s="1"/>
  <c r="V45" i="33" s="1"/>
  <c r="U44" i="33"/>
  <c r="T44" i="33"/>
  <c r="N44" i="33"/>
  <c r="G44" i="33" s="1"/>
  <c r="E44" i="33" s="1"/>
  <c r="V44" i="33" s="1"/>
  <c r="U43" i="33"/>
  <c r="T43" i="33"/>
  <c r="N43" i="33"/>
  <c r="G43" i="33" s="1"/>
  <c r="E43" i="33" s="1"/>
  <c r="V43" i="33" s="1"/>
  <c r="U42" i="33"/>
  <c r="T42" i="33"/>
  <c r="N42" i="33"/>
  <c r="G42" i="33"/>
  <c r="E42" i="33"/>
  <c r="V42" i="33" s="1"/>
  <c r="U41" i="33"/>
  <c r="T41" i="33"/>
  <c r="N41" i="33"/>
  <c r="G41" i="33" s="1"/>
  <c r="E41" i="33" s="1"/>
  <c r="V41" i="33" s="1"/>
  <c r="U40" i="33"/>
  <c r="T40" i="33"/>
  <c r="N40" i="33"/>
  <c r="G40" i="33"/>
  <c r="U39" i="33"/>
  <c r="T39" i="33"/>
  <c r="N39" i="33"/>
  <c r="G39" i="33" s="1"/>
  <c r="E39" i="33" s="1"/>
  <c r="V39" i="33" s="1"/>
  <c r="U38" i="33"/>
  <c r="T38" i="33"/>
  <c r="N38" i="33"/>
  <c r="G38" i="33"/>
  <c r="E38" i="33" s="1"/>
  <c r="V38" i="33" s="1"/>
  <c r="U37" i="33"/>
  <c r="T37" i="33"/>
  <c r="N37" i="33"/>
  <c r="G37" i="33" s="1"/>
  <c r="E37" i="33" s="1"/>
  <c r="V37" i="33" s="1"/>
  <c r="U36" i="33"/>
  <c r="T36" i="33"/>
  <c r="N36" i="33"/>
  <c r="G36" i="33"/>
  <c r="U35" i="33"/>
  <c r="T35" i="33"/>
  <c r="N35" i="33"/>
  <c r="G35" i="33" s="1"/>
  <c r="E35" i="33" s="1"/>
  <c r="V35" i="33" s="1"/>
  <c r="U34" i="33"/>
  <c r="T34" i="33"/>
  <c r="N34" i="33"/>
  <c r="G34" i="33" s="1"/>
  <c r="U33" i="33"/>
  <c r="T33" i="33"/>
  <c r="N33" i="33"/>
  <c r="G33" i="33" s="1"/>
  <c r="E33" i="33" s="1"/>
  <c r="V33" i="33" s="1"/>
  <c r="U32" i="33"/>
  <c r="T32" i="33"/>
  <c r="N32" i="33"/>
  <c r="G32" i="33" s="1"/>
  <c r="E32" i="33" s="1"/>
  <c r="V32" i="33" s="1"/>
  <c r="U31" i="33"/>
  <c r="T31" i="33"/>
  <c r="N31" i="33"/>
  <c r="G31" i="33" s="1"/>
  <c r="E31" i="33" s="1"/>
  <c r="V31" i="33" s="1"/>
  <c r="U30" i="33"/>
  <c r="T30" i="33"/>
  <c r="N30" i="33"/>
  <c r="G30" i="33" s="1"/>
  <c r="E30" i="33" s="1"/>
  <c r="V30" i="33" s="1"/>
  <c r="U29" i="33"/>
  <c r="T29" i="33"/>
  <c r="N29" i="33"/>
  <c r="G29" i="33" s="1"/>
  <c r="U28" i="33"/>
  <c r="T28" i="33"/>
  <c r="N28" i="33"/>
  <c r="G28" i="33"/>
  <c r="E28" i="33" s="1"/>
  <c r="V28" i="33" s="1"/>
  <c r="U27" i="33"/>
  <c r="T27" i="33"/>
  <c r="I27" i="33"/>
  <c r="U26" i="33"/>
  <c r="T26" i="33"/>
  <c r="N26" i="33"/>
  <c r="G26" i="33" s="1"/>
  <c r="E26" i="33" s="1"/>
  <c r="V26" i="33" s="1"/>
  <c r="U25" i="33"/>
  <c r="T25" i="33"/>
  <c r="N25" i="33"/>
  <c r="G25" i="33" s="1"/>
  <c r="E25" i="33" s="1"/>
  <c r="V25" i="33" s="1"/>
  <c r="U24" i="33"/>
  <c r="T24" i="33"/>
  <c r="I24" i="33"/>
  <c r="N24" i="33" s="1"/>
  <c r="G24" i="33" s="1"/>
  <c r="E24" i="33" s="1"/>
  <c r="V24" i="33" s="1"/>
  <c r="U23" i="33"/>
  <c r="T23" i="33"/>
  <c r="I23" i="33"/>
  <c r="N23" i="33" s="1"/>
  <c r="G23" i="33" s="1"/>
  <c r="E23" i="33" s="1"/>
  <c r="V23" i="33" s="1"/>
  <c r="U22" i="33"/>
  <c r="T22" i="33"/>
  <c r="N22" i="33"/>
  <c r="G22" i="33" s="1"/>
  <c r="U21" i="33"/>
  <c r="T21" i="33"/>
  <c r="N21" i="33"/>
  <c r="G21" i="33"/>
  <c r="E21" i="33"/>
  <c r="V21" i="33" s="1"/>
  <c r="U20" i="33"/>
  <c r="T20" i="33"/>
  <c r="N20" i="33"/>
  <c r="G20" i="33" s="1"/>
  <c r="E20" i="33" s="1"/>
  <c r="V20" i="33" s="1"/>
  <c r="U19" i="33"/>
  <c r="T19" i="33"/>
  <c r="I19" i="33"/>
  <c r="N19" i="33" s="1"/>
  <c r="G19" i="33" s="1"/>
  <c r="E19" i="33" s="1"/>
  <c r="V19" i="33" s="1"/>
  <c r="U18" i="33"/>
  <c r="T18" i="33"/>
  <c r="N18" i="33"/>
  <c r="G18" i="33" s="1"/>
  <c r="E18" i="33" s="1"/>
  <c r="V18" i="33" s="1"/>
  <c r="U17" i="33"/>
  <c r="T17" i="33"/>
  <c r="N17" i="33"/>
  <c r="G17" i="33" s="1"/>
  <c r="E17" i="33" s="1"/>
  <c r="V17" i="33" s="1"/>
  <c r="U16" i="33"/>
  <c r="T16" i="33"/>
  <c r="N16" i="33"/>
  <c r="G16" i="33"/>
  <c r="E16" i="33" s="1"/>
  <c r="V16" i="33" s="1"/>
  <c r="U15" i="33"/>
  <c r="T15" i="33"/>
  <c r="N15" i="33"/>
  <c r="G15" i="33"/>
  <c r="E15" i="33" s="1"/>
  <c r="V15" i="33" s="1"/>
  <c r="U14" i="33"/>
  <c r="T14" i="33"/>
  <c r="N14" i="33"/>
  <c r="G14" i="33"/>
  <c r="E14" i="33"/>
  <c r="V14" i="33" s="1"/>
  <c r="U13" i="33"/>
  <c r="T13" i="33"/>
  <c r="E13" i="33" s="1"/>
  <c r="V13" i="33" s="1"/>
  <c r="N13" i="33"/>
  <c r="G13" i="33"/>
  <c r="U12" i="33"/>
  <c r="T12" i="33"/>
  <c r="N12" i="33"/>
  <c r="G12" i="33"/>
  <c r="U11" i="33"/>
  <c r="T11" i="33"/>
  <c r="N11" i="33"/>
  <c r="G11" i="33"/>
  <c r="E11" i="33"/>
  <c r="V11" i="33" s="1"/>
  <c r="U10" i="33"/>
  <c r="T10" i="33"/>
  <c r="N10" i="33"/>
  <c r="G10" i="33" s="1"/>
  <c r="E10" i="33" s="1"/>
  <c r="V10" i="33" s="1"/>
  <c r="G50" i="32"/>
  <c r="F50" i="32"/>
  <c r="T50" i="32" s="1"/>
  <c r="G49" i="32"/>
  <c r="F49" i="32"/>
  <c r="U49" i="32" s="1"/>
  <c r="U48" i="32"/>
  <c r="T48" i="32"/>
  <c r="G48" i="32"/>
  <c r="E48" i="32" s="1"/>
  <c r="V48" i="32" s="1"/>
  <c r="F47" i="32"/>
  <c r="U47" i="32" s="1"/>
  <c r="U46" i="32"/>
  <c r="T46" i="32"/>
  <c r="N46" i="32"/>
  <c r="G46" i="32"/>
  <c r="E46" i="32" s="1"/>
  <c r="V46" i="32" s="1"/>
  <c r="F45" i="32"/>
  <c r="U44" i="32"/>
  <c r="T44" i="32"/>
  <c r="N44" i="32"/>
  <c r="G44" i="32" s="1"/>
  <c r="E44" i="32" s="1"/>
  <c r="V44" i="32" s="1"/>
  <c r="F43" i="32"/>
  <c r="U42" i="32"/>
  <c r="T42" i="32"/>
  <c r="N42" i="32"/>
  <c r="G42" i="32"/>
  <c r="U41" i="32"/>
  <c r="T41" i="32"/>
  <c r="N41" i="32"/>
  <c r="G41" i="32" s="1"/>
  <c r="E41" i="32" s="1"/>
  <c r="V41" i="32" s="1"/>
  <c r="F40" i="32"/>
  <c r="N40" i="32" s="1"/>
  <c r="G40" i="32" s="1"/>
  <c r="U39" i="32"/>
  <c r="T39" i="32"/>
  <c r="N39" i="32"/>
  <c r="G39" i="32" s="1"/>
  <c r="F38" i="32"/>
  <c r="T38" i="32" s="1"/>
  <c r="U37" i="32"/>
  <c r="T37" i="32"/>
  <c r="N37" i="32"/>
  <c r="G37" i="32"/>
  <c r="F36" i="32"/>
  <c r="U36" i="32" s="1"/>
  <c r="F35" i="32"/>
  <c r="U35" i="32" s="1"/>
  <c r="U34" i="32"/>
  <c r="T34" i="32"/>
  <c r="N34" i="32"/>
  <c r="G34" i="32"/>
  <c r="U33" i="32"/>
  <c r="T33" i="32"/>
  <c r="N33" i="32"/>
  <c r="G33" i="32"/>
  <c r="E33" i="32" s="1"/>
  <c r="V33" i="32" s="1"/>
  <c r="U32" i="32"/>
  <c r="T32" i="32"/>
  <c r="N32" i="32"/>
  <c r="G32" i="32"/>
  <c r="E32" i="32"/>
  <c r="V32" i="32" s="1"/>
  <c r="U31" i="32"/>
  <c r="T31" i="32"/>
  <c r="N31" i="32"/>
  <c r="G31" i="32"/>
  <c r="E31" i="32" s="1"/>
  <c r="V31" i="32" s="1"/>
  <c r="F30" i="32"/>
  <c r="F29" i="32"/>
  <c r="T29" i="32" s="1"/>
  <c r="U28" i="32"/>
  <c r="T28" i="32"/>
  <c r="F28" i="32"/>
  <c r="N28" i="32" s="1"/>
  <c r="G28" i="32" s="1"/>
  <c r="E28" i="32" s="1"/>
  <c r="V28" i="32" s="1"/>
  <c r="U27" i="32"/>
  <c r="T27" i="32"/>
  <c r="N27" i="32"/>
  <c r="G27" i="32"/>
  <c r="U26" i="32"/>
  <c r="T26" i="32"/>
  <c r="N26" i="32"/>
  <c r="G26" i="32" s="1"/>
  <c r="E26" i="32" s="1"/>
  <c r="V26" i="32" s="1"/>
  <c r="U25" i="32"/>
  <c r="T25" i="32"/>
  <c r="N25" i="32"/>
  <c r="G25" i="32"/>
  <c r="U24" i="32"/>
  <c r="T24" i="32"/>
  <c r="N24" i="32"/>
  <c r="G24" i="32" s="1"/>
  <c r="E24" i="32" s="1"/>
  <c r="V24" i="32" s="1"/>
  <c r="F23" i="32"/>
  <c r="T23" i="32" s="1"/>
  <c r="U22" i="32"/>
  <c r="T22" i="32"/>
  <c r="N22" i="32"/>
  <c r="G22" i="32"/>
  <c r="F21" i="32"/>
  <c r="U21" i="32" s="1"/>
  <c r="F20" i="32"/>
  <c r="U20" i="32" s="1"/>
  <c r="F19" i="32"/>
  <c r="F18" i="32"/>
  <c r="T18" i="32" s="1"/>
  <c r="F17" i="32"/>
  <c r="N17" i="32" s="1"/>
  <c r="G17" i="32" s="1"/>
  <c r="F16" i="32"/>
  <c r="T16" i="32" s="1"/>
  <c r="U15" i="32"/>
  <c r="T15" i="32"/>
  <c r="N15" i="32"/>
  <c r="G15" i="32"/>
  <c r="F14" i="32"/>
  <c r="U14" i="32" s="1"/>
  <c r="F13" i="32"/>
  <c r="U13" i="32" s="1"/>
  <c r="F12" i="32"/>
  <c r="U11" i="32"/>
  <c r="T11" i="32"/>
  <c r="F11" i="32"/>
  <c r="N11" i="32" s="1"/>
  <c r="G11" i="32" s="1"/>
  <c r="E11" i="32" s="1"/>
  <c r="V11" i="32" s="1"/>
  <c r="F10" i="32"/>
  <c r="U10" i="32" s="1"/>
  <c r="K17" i="31" l="1"/>
  <c r="O17" i="31" s="1"/>
  <c r="Q17" i="31" s="1"/>
  <c r="R17" i="31" s="1"/>
  <c r="L21" i="31"/>
  <c r="K21" i="31" s="1"/>
  <c r="N21" i="31"/>
  <c r="O21" i="31"/>
  <c r="Q21" i="31" s="1"/>
  <c r="R21" i="31" s="1"/>
  <c r="E25" i="32"/>
  <c r="V25" i="32" s="1"/>
  <c r="U40" i="32"/>
  <c r="U50" i="32"/>
  <c r="E50" i="32" s="1"/>
  <c r="V50" i="32" s="1"/>
  <c r="T17" i="32"/>
  <c r="E17" i="32" s="1"/>
  <c r="V17" i="32" s="1"/>
  <c r="T40" i="32"/>
  <c r="E40" i="32" s="1"/>
  <c r="V40" i="32" s="1"/>
  <c r="U23" i="32"/>
  <c r="U18" i="32"/>
  <c r="E27" i="32"/>
  <c r="V27" i="32" s="1"/>
  <c r="N29" i="32"/>
  <c r="G29" i="32" s="1"/>
  <c r="U17" i="32"/>
  <c r="U29" i="32"/>
  <c r="N18" i="32"/>
  <c r="G18" i="32" s="1"/>
  <c r="E34" i="32"/>
  <c r="V34" i="32" s="1"/>
  <c r="U38" i="32"/>
  <c r="E42" i="32"/>
  <c r="V42" i="32" s="1"/>
  <c r="E39" i="32"/>
  <c r="V39" i="32" s="1"/>
  <c r="N10" i="32"/>
  <c r="G10" i="32" s="1"/>
  <c r="T10" i="32"/>
  <c r="U16" i="32"/>
  <c r="E22" i="33"/>
  <c r="V22" i="33" s="1"/>
  <c r="E46" i="33"/>
  <c r="V46" i="33" s="1"/>
  <c r="E40" i="33"/>
  <c r="V40" i="33" s="1"/>
  <c r="E34" i="33"/>
  <c r="V34" i="33" s="1"/>
  <c r="E12" i="33"/>
  <c r="V12" i="33" s="1"/>
  <c r="E29" i="33"/>
  <c r="V29" i="33" s="1"/>
  <c r="E36" i="33"/>
  <c r="V36" i="33" s="1"/>
  <c r="N27" i="33"/>
  <c r="G27" i="33" s="1"/>
  <c r="E27" i="33" s="1"/>
  <c r="V27" i="33" s="1"/>
  <c r="I27" i="26"/>
  <c r="J27" i="26" s="1"/>
  <c r="L27" i="26" s="1"/>
  <c r="M17" i="30"/>
  <c r="L17" i="30"/>
  <c r="K17" i="30" s="1"/>
  <c r="U43" i="32"/>
  <c r="T43" i="32"/>
  <c r="N43" i="32"/>
  <c r="G43" i="32" s="1"/>
  <c r="E37" i="32"/>
  <c r="V37" i="32" s="1"/>
  <c r="U12" i="32"/>
  <c r="T12" i="32"/>
  <c r="N12" i="32"/>
  <c r="G12" i="32" s="1"/>
  <c r="U19" i="32"/>
  <c r="T19" i="32"/>
  <c r="N19" i="32"/>
  <c r="G19" i="32" s="1"/>
  <c r="E19" i="32" s="1"/>
  <c r="V19" i="32" s="1"/>
  <c r="U30" i="32"/>
  <c r="T30" i="32"/>
  <c r="N30" i="32"/>
  <c r="G30" i="32" s="1"/>
  <c r="E30" i="32" s="1"/>
  <c r="V30" i="32" s="1"/>
  <c r="E15" i="32"/>
  <c r="V15" i="32" s="1"/>
  <c r="E22" i="32"/>
  <c r="V22" i="32" s="1"/>
  <c r="U45" i="32"/>
  <c r="T45" i="32"/>
  <c r="N45" i="32"/>
  <c r="G45" i="32" s="1"/>
  <c r="N13" i="32"/>
  <c r="G13" i="32" s="1"/>
  <c r="N35" i="32"/>
  <c r="G35" i="32" s="1"/>
  <c r="N20" i="32"/>
  <c r="G20" i="32" s="1"/>
  <c r="T13" i="32"/>
  <c r="T20" i="32"/>
  <c r="T35" i="32"/>
  <c r="G47" i="32"/>
  <c r="E47" i="32" s="1"/>
  <c r="V47" i="32" s="1"/>
  <c r="N14" i="32"/>
  <c r="G14" i="32" s="1"/>
  <c r="E14" i="32" s="1"/>
  <c r="V14" i="32" s="1"/>
  <c r="N21" i="32"/>
  <c r="G21" i="32" s="1"/>
  <c r="N36" i="32"/>
  <c r="G36" i="32" s="1"/>
  <c r="T47" i="32"/>
  <c r="T49" i="32"/>
  <c r="E49" i="32" s="1"/>
  <c r="V49" i="32" s="1"/>
  <c r="T14" i="32"/>
  <c r="N16" i="32"/>
  <c r="G16" i="32" s="1"/>
  <c r="T21" i="32"/>
  <c r="N23" i="32"/>
  <c r="G23" i="32" s="1"/>
  <c r="T36" i="32"/>
  <c r="N38" i="32"/>
  <c r="G38" i="32" s="1"/>
  <c r="E38" i="32" s="1"/>
  <c r="V38" i="32" s="1"/>
  <c r="J12" i="9"/>
  <c r="J11" i="9"/>
  <c r="J10" i="9"/>
  <c r="K8" i="9"/>
  <c r="J9" i="9"/>
  <c r="C8" i="9"/>
  <c r="P8" i="9"/>
  <c r="O8" i="9"/>
  <c r="N8" i="9"/>
  <c r="M8" i="9"/>
  <c r="L8" i="9"/>
  <c r="I8" i="9"/>
  <c r="H8" i="9"/>
  <c r="G8" i="9"/>
  <c r="F8" i="9"/>
  <c r="E8" i="9"/>
  <c r="D8" i="9"/>
  <c r="V10" i="9" s="1"/>
  <c r="J12" i="35"/>
  <c r="J11" i="35"/>
  <c r="J10" i="35"/>
  <c r="R10" i="35" s="1"/>
  <c r="J9" i="35"/>
  <c r="P8" i="35"/>
  <c r="O8" i="35"/>
  <c r="N8" i="35"/>
  <c r="M8" i="35"/>
  <c r="L8" i="35"/>
  <c r="I8" i="35"/>
  <c r="H8" i="35"/>
  <c r="G8" i="35"/>
  <c r="F8" i="35"/>
  <c r="E8" i="35"/>
  <c r="D8" i="35"/>
  <c r="E29" i="32" l="1"/>
  <c r="V29" i="32" s="1"/>
  <c r="E23" i="32"/>
  <c r="V23" i="32" s="1"/>
  <c r="E21" i="32"/>
  <c r="V21" i="32" s="1"/>
  <c r="E43" i="32"/>
  <c r="V43" i="32" s="1"/>
  <c r="E10" i="32"/>
  <c r="V10" i="32" s="1"/>
  <c r="E13" i="32"/>
  <c r="V13" i="32" s="1"/>
  <c r="E12" i="32"/>
  <c r="V12" i="32" s="1"/>
  <c r="E20" i="32"/>
  <c r="V20" i="32" s="1"/>
  <c r="E18" i="32"/>
  <c r="V18" i="32" s="1"/>
  <c r="E16" i="32"/>
  <c r="V16" i="32" s="1"/>
  <c r="E35" i="32"/>
  <c r="V35" i="32" s="1"/>
  <c r="E36" i="32"/>
  <c r="V36" i="32" s="1"/>
  <c r="N17" i="30"/>
  <c r="O17" i="30" s="1"/>
  <c r="R10" i="9"/>
  <c r="R12" i="35"/>
  <c r="E45" i="32"/>
  <c r="V45" i="32" s="1"/>
  <c r="R11" i="35"/>
  <c r="R9" i="35"/>
  <c r="R11" i="9"/>
  <c r="Q8" i="9"/>
  <c r="K8" i="35"/>
  <c r="C8" i="35"/>
  <c r="R9" i="9"/>
  <c r="R12" i="9"/>
  <c r="J8" i="9"/>
  <c r="J8" i="35"/>
  <c r="Q17" i="30" l="1"/>
  <c r="R17" i="30" s="1"/>
  <c r="R8" i="35"/>
  <c r="R8" i="9"/>
  <c r="AB10" i="32" l="1"/>
  <c r="E65" i="34" l="1"/>
  <c r="D65" i="34"/>
  <c r="C65" i="34"/>
  <c r="E62" i="34"/>
  <c r="D62" i="34"/>
  <c r="C62" i="34"/>
  <c r="E59" i="34"/>
  <c r="E58" i="34" s="1"/>
  <c r="D59" i="34"/>
  <c r="D58" i="34" s="1"/>
  <c r="C59" i="34"/>
  <c r="C58" i="34" s="1"/>
  <c r="E52" i="34"/>
  <c r="E51" i="34" s="1"/>
  <c r="D52" i="34"/>
  <c r="D51" i="34" s="1"/>
  <c r="C43" i="34"/>
  <c r="E44" i="34"/>
  <c r="D44" i="34"/>
  <c r="D43" i="34" s="1"/>
  <c r="E43" i="34"/>
  <c r="K41" i="34"/>
  <c r="J41" i="34"/>
  <c r="J26" i="34"/>
  <c r="C13" i="34"/>
  <c r="C11" i="34" s="1"/>
  <c r="C10" i="34" s="1"/>
  <c r="J42" i="34" l="1"/>
  <c r="F35" i="26"/>
  <c r="H35" i="26" s="1"/>
  <c r="I35" i="26" l="1"/>
  <c r="J35" i="26"/>
  <c r="L35" i="26" s="1"/>
  <c r="AB11" i="33" l="1"/>
  <c r="AB12" i="33"/>
  <c r="AB13" i="33"/>
  <c r="AB14" i="33"/>
  <c r="AB15" i="33"/>
  <c r="AB16" i="33"/>
  <c r="AB17" i="33"/>
  <c r="AB18" i="33"/>
  <c r="AB19" i="33"/>
  <c r="AB20" i="33"/>
  <c r="AB21" i="33"/>
  <c r="AB22" i="33"/>
  <c r="AB23" i="33"/>
  <c r="AB24" i="33"/>
  <c r="AB25" i="33"/>
  <c r="AB26" i="33"/>
  <c r="AB27" i="33"/>
  <c r="AB28" i="33"/>
  <c r="AB29" i="33"/>
  <c r="AB30" i="33"/>
  <c r="AB31" i="33"/>
  <c r="AB32" i="33"/>
  <c r="AB33" i="33"/>
  <c r="AB34" i="33"/>
  <c r="AB35" i="33"/>
  <c r="AB36" i="33"/>
  <c r="AB37" i="33"/>
  <c r="AB38" i="33"/>
  <c r="AB39" i="33"/>
  <c r="AB40" i="33"/>
  <c r="AB41" i="33"/>
  <c r="AB42" i="33"/>
  <c r="AB43" i="33"/>
  <c r="AB44" i="33"/>
  <c r="AB45" i="33"/>
  <c r="AB46" i="33"/>
  <c r="AB47" i="33"/>
  <c r="AB48" i="33"/>
  <c r="AB49" i="33"/>
  <c r="AB50" i="33"/>
  <c r="AB10" i="33"/>
  <c r="AA11" i="32" l="1"/>
  <c r="AA12" i="32"/>
  <c r="AA13" i="32"/>
  <c r="AA14" i="32"/>
  <c r="AA15" i="32"/>
  <c r="AA16" i="32"/>
  <c r="AA17" i="32"/>
  <c r="AA18" i="32"/>
  <c r="AA19" i="32"/>
  <c r="AA20" i="32"/>
  <c r="AA21" i="32"/>
  <c r="AA22" i="32"/>
  <c r="AA23" i="32"/>
  <c r="AA24" i="32"/>
  <c r="AA25" i="32"/>
  <c r="AA26" i="32"/>
  <c r="AA27" i="32"/>
  <c r="AA28" i="32"/>
  <c r="AA29" i="32"/>
  <c r="AA30" i="32"/>
  <c r="AA31" i="32"/>
  <c r="AA32" i="32"/>
  <c r="AA33" i="32"/>
  <c r="AA34" i="32"/>
  <c r="AA35" i="32"/>
  <c r="AA36" i="32"/>
  <c r="AA37" i="32"/>
  <c r="AA38" i="32"/>
  <c r="AA39" i="32"/>
  <c r="AA40" i="32"/>
  <c r="AA41" i="32"/>
  <c r="AA42" i="32"/>
  <c r="AA43" i="32"/>
  <c r="AA44" i="32"/>
  <c r="AA45" i="32"/>
  <c r="AA46" i="32"/>
  <c r="AA47" i="32"/>
  <c r="AA48" i="32"/>
  <c r="AA49" i="32"/>
  <c r="AA50" i="32"/>
  <c r="AA56" i="32"/>
  <c r="AA10" i="32"/>
  <c r="F18" i="26" l="1"/>
  <c r="H18" i="26" s="1"/>
  <c r="D10" i="26"/>
  <c r="E10" i="26"/>
  <c r="G10" i="26"/>
  <c r="K10" i="26"/>
  <c r="C10" i="26"/>
  <c r="F11" i="26"/>
  <c r="F12" i="26"/>
  <c r="H12" i="26" s="1"/>
  <c r="I12" i="26" s="1"/>
  <c r="J12" i="26" s="1"/>
  <c r="L12" i="26" l="1"/>
  <c r="I18" i="26"/>
  <c r="J18" i="26" s="1"/>
  <c r="H11" i="26"/>
  <c r="L18" i="26" l="1"/>
  <c r="I11" i="26"/>
  <c r="J11" i="26" s="1"/>
  <c r="E11" i="30"/>
  <c r="L11" i="26" l="1"/>
  <c r="L11" i="30"/>
  <c r="M11" i="30"/>
  <c r="N11" i="30"/>
  <c r="K11" i="30" l="1"/>
  <c r="O11" i="30" s="1"/>
  <c r="Q11" i="30" l="1"/>
  <c r="R11" i="30" s="1"/>
  <c r="F28" i="27" l="1"/>
  <c r="H28" i="27" s="1"/>
  <c r="I28" i="27" s="1"/>
  <c r="J28" i="27" s="1"/>
  <c r="L28" i="27" s="1"/>
  <c r="F9" i="33"/>
  <c r="F8" i="33" s="1"/>
  <c r="AD8" i="33" s="1"/>
  <c r="W9" i="33"/>
  <c r="S9" i="33"/>
  <c r="S8" i="33" s="1"/>
  <c r="AD14" i="33" s="1"/>
  <c r="AE14" i="33" s="1"/>
  <c r="AF14" i="33" s="1"/>
  <c r="M9" i="33"/>
  <c r="M8" i="33" s="1"/>
  <c r="AD12" i="33" s="1"/>
  <c r="AE12" i="33" s="1"/>
  <c r="AF12" i="33" s="1"/>
  <c r="H9" i="33"/>
  <c r="H8" i="33" s="1"/>
  <c r="AD9" i="33" s="1"/>
  <c r="AE9" i="33" s="1"/>
  <c r="AF9" i="33" s="1"/>
  <c r="D8" i="33"/>
  <c r="C8" i="33"/>
  <c r="I9" i="33" l="1"/>
  <c r="I8" i="33" s="1"/>
  <c r="AD10" i="33" s="1"/>
  <c r="AE10" i="33" s="1"/>
  <c r="AF10" i="33" s="1"/>
  <c r="AG10" i="33" s="1"/>
  <c r="AH12" i="33"/>
  <c r="AG12" i="33"/>
  <c r="AH14" i="33"/>
  <c r="AG14" i="33"/>
  <c r="AH9" i="33"/>
  <c r="AG9" i="33"/>
  <c r="AE8" i="33"/>
  <c r="AF8" i="33" s="1"/>
  <c r="W9" i="32"/>
  <c r="S9" i="32"/>
  <c r="S8" i="32" s="1"/>
  <c r="AF14" i="32" s="1"/>
  <c r="AG14" i="32" s="1"/>
  <c r="AH14" i="32" s="1"/>
  <c r="M9" i="32"/>
  <c r="M8" i="32" s="1"/>
  <c r="AF12" i="32" s="1"/>
  <c r="AG12" i="32" s="1"/>
  <c r="AH12" i="32" s="1"/>
  <c r="H9" i="32"/>
  <c r="H8" i="32" s="1"/>
  <c r="AF9" i="32" s="1"/>
  <c r="AG9" i="32" s="1"/>
  <c r="AH9" i="32" s="1"/>
  <c r="D8" i="32"/>
  <c r="C8" i="32"/>
  <c r="I9" i="32" l="1"/>
  <c r="I8" i="32" s="1"/>
  <c r="AF10" i="32" s="1"/>
  <c r="AG10" i="32" s="1"/>
  <c r="AH10" i="32" s="1"/>
  <c r="AJ10" i="32" s="1"/>
  <c r="AH10" i="33"/>
  <c r="AI10" i="33" s="1"/>
  <c r="AH8" i="33"/>
  <c r="AG8" i="33"/>
  <c r="N9" i="33"/>
  <c r="N8" i="33" s="1"/>
  <c r="AD13" i="33" s="1"/>
  <c r="AE13" i="33" s="1"/>
  <c r="AF13" i="33" s="1"/>
  <c r="J9" i="33"/>
  <c r="AI9" i="33"/>
  <c r="AI12" i="33"/>
  <c r="AI14" i="33"/>
  <c r="AJ12" i="32"/>
  <c r="AI12" i="32"/>
  <c r="AI14" i="32"/>
  <c r="AJ14" i="32"/>
  <c r="AJ9" i="32"/>
  <c r="AI9" i="32"/>
  <c r="F9" i="32"/>
  <c r="J9" i="32" l="1"/>
  <c r="J8" i="32" s="1"/>
  <c r="AF11" i="32" s="1"/>
  <c r="AG11" i="32" s="1"/>
  <c r="AH11" i="32" s="1"/>
  <c r="AI11" i="32" s="1"/>
  <c r="AI10" i="32"/>
  <c r="AK10" i="32" s="1"/>
  <c r="N9" i="32"/>
  <c r="N8" i="32" s="1"/>
  <c r="AF13" i="32" s="1"/>
  <c r="AG13" i="32" s="1"/>
  <c r="AH13" i="32" s="1"/>
  <c r="AI13" i="32" s="1"/>
  <c r="AI8" i="33"/>
  <c r="AG13" i="33"/>
  <c r="AH13" i="33"/>
  <c r="G9" i="33"/>
  <c r="G8" i="33" s="1"/>
  <c r="J8" i="33"/>
  <c r="AD11" i="33" s="1"/>
  <c r="U9" i="33"/>
  <c r="U8" i="33" s="1"/>
  <c r="T9" i="33"/>
  <c r="T8" i="33" s="1"/>
  <c r="F8" i="32"/>
  <c r="AF8" i="32" s="1"/>
  <c r="AK14" i="32"/>
  <c r="AK12" i="32"/>
  <c r="AK9" i="32"/>
  <c r="U9" i="32" l="1"/>
  <c r="U8" i="32" s="1"/>
  <c r="T9" i="32"/>
  <c r="T8" i="32" s="1"/>
  <c r="AJ11" i="32"/>
  <c r="AK11" i="32" s="1"/>
  <c r="AJ13" i="32"/>
  <c r="AK13" i="32" s="1"/>
  <c r="AK17" i="32" s="1"/>
  <c r="AI13" i="33"/>
  <c r="AD15" i="33"/>
  <c r="AE15" i="33" s="1"/>
  <c r="AF15" i="33" s="1"/>
  <c r="AH15" i="33" s="1"/>
  <c r="AE11" i="33"/>
  <c r="AF11" i="33" s="1"/>
  <c r="V9" i="33"/>
  <c r="V8" i="33" s="1"/>
  <c r="X8" i="33" s="1"/>
  <c r="E9" i="33"/>
  <c r="E8" i="33" s="1"/>
  <c r="AG8" i="32"/>
  <c r="AH8" i="32" s="1"/>
  <c r="G9" i="32"/>
  <c r="G8" i="32" s="1"/>
  <c r="AF15" i="32" l="1"/>
  <c r="AG15" i="32" s="1"/>
  <c r="AH15" i="32" s="1"/>
  <c r="AJ15" i="32" s="1"/>
  <c r="AG15" i="33"/>
  <c r="AI15" i="33" s="1"/>
  <c r="AD16" i="33"/>
  <c r="AH11" i="33"/>
  <c r="AG11" i="33"/>
  <c r="AF16" i="32"/>
  <c r="V9" i="32"/>
  <c r="V8" i="32" s="1"/>
  <c r="Z8" i="32" s="1"/>
  <c r="E9" i="32"/>
  <c r="E8" i="32" s="1"/>
  <c r="AI8" i="32"/>
  <c r="AJ8" i="32"/>
  <c r="AI15" i="32" l="1"/>
  <c r="AK15" i="32" s="1"/>
  <c r="AI11" i="33"/>
  <c r="AK8" i="32"/>
  <c r="AK16" i="32" l="1"/>
  <c r="AI17" i="33"/>
  <c r="AI16" i="33"/>
  <c r="E19" i="31"/>
  <c r="M19" i="31" s="1"/>
  <c r="E20" i="31"/>
  <c r="E22" i="31"/>
  <c r="L22" i="31" s="1"/>
  <c r="E18" i="31"/>
  <c r="M18" i="31" s="1"/>
  <c r="E16" i="31"/>
  <c r="L16" i="31" s="1"/>
  <c r="E15" i="31"/>
  <c r="L15" i="31" s="1"/>
  <c r="E14" i="31"/>
  <c r="E13" i="31"/>
  <c r="M13" i="31" s="1"/>
  <c r="E12" i="31"/>
  <c r="M12" i="31" s="1"/>
  <c r="E11" i="31"/>
  <c r="P10" i="31"/>
  <c r="J10" i="31"/>
  <c r="I10" i="31"/>
  <c r="H10" i="31"/>
  <c r="G10" i="31"/>
  <c r="F10" i="31"/>
  <c r="D10" i="31"/>
  <c r="C10" i="31"/>
  <c r="D9" i="30"/>
  <c r="F9" i="30"/>
  <c r="G9" i="30"/>
  <c r="H9" i="30"/>
  <c r="I9" i="30"/>
  <c r="J9" i="30"/>
  <c r="P9" i="30"/>
  <c r="C9" i="30"/>
  <c r="E24" i="30"/>
  <c r="E23" i="30"/>
  <c r="L23" i="30" s="1"/>
  <c r="E22" i="30"/>
  <c r="E21" i="30"/>
  <c r="E20" i="30"/>
  <c r="L20" i="30" s="1"/>
  <c r="E19" i="30"/>
  <c r="L19" i="30" s="1"/>
  <c r="E18" i="30"/>
  <c r="L18" i="30" s="1"/>
  <c r="E16" i="30"/>
  <c r="L16" i="30" s="1"/>
  <c r="E15" i="30"/>
  <c r="E14" i="30"/>
  <c r="L14" i="30" s="1"/>
  <c r="E13" i="30"/>
  <c r="E12" i="30"/>
  <c r="L12" i="30" s="1"/>
  <c r="E10" i="30"/>
  <c r="M20" i="31" l="1"/>
  <c r="L20" i="31"/>
  <c r="K20" i="31" s="1"/>
  <c r="M20" i="30"/>
  <c r="K20" i="30" s="1"/>
  <c r="L10" i="30"/>
  <c r="N10" i="30" s="1"/>
  <c r="L13" i="30"/>
  <c r="N13" i="30" s="1"/>
  <c r="N19" i="30"/>
  <c r="M22" i="30"/>
  <c r="L24" i="30"/>
  <c r="N24" i="30" s="1"/>
  <c r="M23" i="30"/>
  <c r="K23" i="30" s="1"/>
  <c r="N23" i="30"/>
  <c r="L22" i="30"/>
  <c r="N22" i="30" s="1"/>
  <c r="N14" i="30"/>
  <c r="M15" i="30"/>
  <c r="L15" i="30"/>
  <c r="N15" i="30" s="1"/>
  <c r="N16" i="30"/>
  <c r="N18" i="30"/>
  <c r="M24" i="30"/>
  <c r="L11" i="31"/>
  <c r="N11" i="31" s="1"/>
  <c r="L18" i="31"/>
  <c r="N18" i="31" s="1"/>
  <c r="L14" i="31"/>
  <c r="N14" i="31" s="1"/>
  <c r="N15" i="31"/>
  <c r="L13" i="31"/>
  <c r="N13" i="31" s="1"/>
  <c r="M15" i="31"/>
  <c r="K15" i="31" s="1"/>
  <c r="L12" i="31"/>
  <c r="N12" i="31" s="1"/>
  <c r="M14" i="31"/>
  <c r="N22" i="31"/>
  <c r="M22" i="31"/>
  <c r="K22" i="31" s="1"/>
  <c r="N20" i="31"/>
  <c r="L19" i="31"/>
  <c r="K19" i="31" s="1"/>
  <c r="M16" i="31"/>
  <c r="K16" i="31" s="1"/>
  <c r="N16" i="31"/>
  <c r="M21" i="30"/>
  <c r="L21" i="30"/>
  <c r="N21" i="30" s="1"/>
  <c r="N12" i="30"/>
  <c r="E9" i="30"/>
  <c r="E10" i="31"/>
  <c r="M16" i="30"/>
  <c r="K16" i="30" s="1"/>
  <c r="M18" i="30"/>
  <c r="K18" i="30" s="1"/>
  <c r="M19" i="30"/>
  <c r="K19" i="30" s="1"/>
  <c r="M14" i="30"/>
  <c r="K14" i="30" s="1"/>
  <c r="M10" i="30"/>
  <c r="M12" i="30"/>
  <c r="M13" i="30"/>
  <c r="O22" i="31" l="1"/>
  <c r="Q22" i="31" s="1"/>
  <c r="R22" i="31" s="1"/>
  <c r="O15" i="31"/>
  <c r="Q15" i="31" s="1"/>
  <c r="R15" i="31" s="1"/>
  <c r="K22" i="30"/>
  <c r="O22" i="30" s="1"/>
  <c r="O18" i="30"/>
  <c r="Q18" i="30" s="1"/>
  <c r="R18" i="30" s="1"/>
  <c r="O19" i="30"/>
  <c r="K11" i="31"/>
  <c r="O11" i="31" s="1"/>
  <c r="K18" i="31"/>
  <c r="O18" i="31" s="1"/>
  <c r="K12" i="31"/>
  <c r="O12" i="31" s="1"/>
  <c r="Q12" i="31" s="1"/>
  <c r="R12" i="31" s="1"/>
  <c r="K14" i="31"/>
  <c r="O14" i="31" s="1"/>
  <c r="Q14" i="31" s="1"/>
  <c r="R14" i="31" s="1"/>
  <c r="O20" i="31"/>
  <c r="N19" i="31"/>
  <c r="O16" i="31"/>
  <c r="Q16" i="31" s="1"/>
  <c r="R16" i="31" s="1"/>
  <c r="M9" i="30"/>
  <c r="K21" i="30"/>
  <c r="O21" i="30" s="1"/>
  <c r="L9" i="30"/>
  <c r="K13" i="31"/>
  <c r="O13" i="31" s="1"/>
  <c r="L10" i="31"/>
  <c r="M10" i="31"/>
  <c r="O20" i="30"/>
  <c r="O23" i="30"/>
  <c r="O16" i="30"/>
  <c r="Q16" i="30" s="1"/>
  <c r="R16" i="30" s="1"/>
  <c r="K15" i="30"/>
  <c r="K13" i="30"/>
  <c r="O13" i="30" s="1"/>
  <c r="K24" i="30"/>
  <c r="O24" i="30" s="1"/>
  <c r="O14" i="30"/>
  <c r="K12" i="30"/>
  <c r="K10" i="30"/>
  <c r="Q19" i="30" l="1"/>
  <c r="R19" i="30" s="1"/>
  <c r="Q20" i="30"/>
  <c r="R20" i="30" s="1"/>
  <c r="N9" i="30"/>
  <c r="N10" i="31"/>
  <c r="O19" i="31"/>
  <c r="Q19" i="31" s="1"/>
  <c r="R19" i="31" s="1"/>
  <c r="O12" i="30"/>
  <c r="K9" i="30"/>
  <c r="Q20" i="31"/>
  <c r="R20" i="31" s="1"/>
  <c r="Q18" i="31"/>
  <c r="R18" i="31" s="1"/>
  <c r="Q11" i="31"/>
  <c r="R11" i="31" s="1"/>
  <c r="K10" i="31"/>
  <c r="Q13" i="31"/>
  <c r="R13" i="31" s="1"/>
  <c r="Q22" i="30"/>
  <c r="R22" i="30" s="1"/>
  <c r="O15" i="30"/>
  <c r="Q23" i="30"/>
  <c r="R23" i="30" s="1"/>
  <c r="Q14" i="30"/>
  <c r="R14" i="30" s="1"/>
  <c r="Q21" i="30"/>
  <c r="R21" i="30" s="1"/>
  <c r="Q24" i="30"/>
  <c r="R24" i="30" s="1"/>
  <c r="Q13" i="30"/>
  <c r="R13" i="30" s="1"/>
  <c r="O10" i="30"/>
  <c r="Q12" i="30" l="1"/>
  <c r="R12" i="30" s="1"/>
  <c r="Q15" i="30"/>
  <c r="R15" i="30" s="1"/>
  <c r="O9" i="30"/>
  <c r="O10" i="31"/>
  <c r="R10" i="31"/>
  <c r="Q10" i="31"/>
  <c r="Q10" i="30"/>
  <c r="R10" i="30" s="1"/>
  <c r="R9" i="30" l="1"/>
  <c r="Q9" i="30"/>
  <c r="E10" i="27" l="1"/>
  <c r="G10" i="27"/>
  <c r="K10" i="27"/>
  <c r="C10" i="27"/>
  <c r="D10" i="27"/>
  <c r="F40" i="27" l="1"/>
  <c r="H40" i="27" s="1"/>
  <c r="I40" i="27" s="1"/>
  <c r="F47" i="26"/>
  <c r="H47" i="26" s="1"/>
  <c r="I47" i="26" s="1"/>
  <c r="F45" i="26"/>
  <c r="H45" i="26" s="1"/>
  <c r="I45" i="26" s="1"/>
  <c r="J45" i="26" s="1"/>
  <c r="L45" i="26" s="1"/>
  <c r="F43" i="26"/>
  <c r="H43" i="26" s="1"/>
  <c r="I43" i="26" s="1"/>
  <c r="F41" i="26"/>
  <c r="H41" i="26" s="1"/>
  <c r="I41" i="26" s="1"/>
  <c r="J41" i="26" s="1"/>
  <c r="L41" i="26" s="1"/>
  <c r="F37" i="26"/>
  <c r="H37" i="26" s="1"/>
  <c r="I37" i="26" s="1"/>
  <c r="F32" i="26"/>
  <c r="H32" i="26" s="1"/>
  <c r="I32" i="26" s="1"/>
  <c r="F30" i="26"/>
  <c r="H30" i="26" s="1"/>
  <c r="I30" i="26" s="1"/>
  <c r="F28" i="26"/>
  <c r="H28" i="26" s="1"/>
  <c r="F24" i="26"/>
  <c r="H24" i="26" s="1"/>
  <c r="I24" i="26" s="1"/>
  <c r="F22" i="26"/>
  <c r="H22" i="26" s="1"/>
  <c r="F20" i="26"/>
  <c r="H20" i="26" s="1"/>
  <c r="I20" i="26" s="1"/>
  <c r="J20" i="26" s="1"/>
  <c r="L20" i="26" s="1"/>
  <c r="F13" i="27"/>
  <c r="H13" i="27" s="1"/>
  <c r="I13" i="27" s="1"/>
  <c r="J13" i="27" s="1"/>
  <c r="L13" i="27" s="1"/>
  <c r="F14" i="26"/>
  <c r="F15" i="26"/>
  <c r="H14" i="26" l="1"/>
  <c r="I28" i="26"/>
  <c r="J28" i="26" s="1"/>
  <c r="J40" i="27"/>
  <c r="L40" i="27" s="1"/>
  <c r="J47" i="26"/>
  <c r="L47" i="26" s="1"/>
  <c r="J43" i="26"/>
  <c r="L43" i="26" s="1"/>
  <c r="J37" i="26"/>
  <c r="J32" i="26"/>
  <c r="L32" i="26" s="1"/>
  <c r="J30" i="26"/>
  <c r="J24" i="26"/>
  <c r="L24" i="26" s="1"/>
  <c r="I22" i="26"/>
  <c r="J22" i="26" s="1"/>
  <c r="F47" i="27"/>
  <c r="H47" i="27" s="1"/>
  <c r="F46" i="27"/>
  <c r="H46" i="27" s="1"/>
  <c r="F45" i="27"/>
  <c r="H45" i="27" s="1"/>
  <c r="F44" i="27"/>
  <c r="H44" i="27" s="1"/>
  <c r="F43" i="27"/>
  <c r="H43" i="27" s="1"/>
  <c r="I43" i="27" s="1"/>
  <c r="F42" i="27"/>
  <c r="H42" i="27" s="1"/>
  <c r="F41" i="27"/>
  <c r="H41" i="27" s="1"/>
  <c r="F39" i="27"/>
  <c r="H39" i="27" s="1"/>
  <c r="F38" i="27"/>
  <c r="H38" i="27" s="1"/>
  <c r="F37" i="27"/>
  <c r="H37" i="27" s="1"/>
  <c r="F36" i="27"/>
  <c r="H36" i="27" s="1"/>
  <c r="F35" i="27"/>
  <c r="H35" i="27" s="1"/>
  <c r="F34" i="27"/>
  <c r="H34" i="27" s="1"/>
  <c r="I34" i="27" s="1"/>
  <c r="F33" i="27"/>
  <c r="H33" i="27" s="1"/>
  <c r="F32" i="27"/>
  <c r="H32" i="27" s="1"/>
  <c r="I32" i="27" s="1"/>
  <c r="J32" i="27" s="1"/>
  <c r="L32" i="27" s="1"/>
  <c r="F31" i="27"/>
  <c r="H31" i="27" s="1"/>
  <c r="F30" i="27"/>
  <c r="H30" i="27" s="1"/>
  <c r="F29" i="27"/>
  <c r="H29" i="27" s="1"/>
  <c r="F27" i="27"/>
  <c r="H27" i="27" s="1"/>
  <c r="F26" i="27"/>
  <c r="H26" i="27" s="1"/>
  <c r="F25" i="27"/>
  <c r="H25" i="27" s="1"/>
  <c r="I25" i="27" s="1"/>
  <c r="F24" i="27"/>
  <c r="H24" i="27" s="1"/>
  <c r="F23" i="27"/>
  <c r="H23" i="27" s="1"/>
  <c r="I23" i="27" s="1"/>
  <c r="J23" i="27" s="1"/>
  <c r="L23" i="27" s="1"/>
  <c r="F22" i="27"/>
  <c r="H22" i="27" s="1"/>
  <c r="F21" i="27"/>
  <c r="H21" i="27" s="1"/>
  <c r="F20" i="27"/>
  <c r="H20" i="27" s="1"/>
  <c r="F19" i="27"/>
  <c r="H19" i="27" s="1"/>
  <c r="F18" i="27"/>
  <c r="H18" i="27" s="1"/>
  <c r="F17" i="27"/>
  <c r="H17" i="27" s="1"/>
  <c r="I17" i="27" s="1"/>
  <c r="F16" i="27"/>
  <c r="H16" i="27" s="1"/>
  <c r="I16" i="27" s="1"/>
  <c r="F15" i="27"/>
  <c r="H15" i="27" s="1"/>
  <c r="I15" i="27" s="1"/>
  <c r="J15" i="27" s="1"/>
  <c r="L15" i="27" s="1"/>
  <c r="F14" i="27"/>
  <c r="H14" i="27" s="1"/>
  <c r="F12" i="27"/>
  <c r="H12" i="27" s="1"/>
  <c r="F11" i="27"/>
  <c r="H11" i="27" s="1"/>
  <c r="F48" i="26"/>
  <c r="H48" i="26" s="1"/>
  <c r="I48" i="26" s="1"/>
  <c r="J48" i="26" s="1"/>
  <c r="F46" i="26"/>
  <c r="H46" i="26" s="1"/>
  <c r="F44" i="26"/>
  <c r="H44" i="26" s="1"/>
  <c r="I44" i="26" s="1"/>
  <c r="F42" i="26"/>
  <c r="H42" i="26" s="1"/>
  <c r="F40" i="26"/>
  <c r="H40" i="26" s="1"/>
  <c r="F39" i="26"/>
  <c r="H39" i="26" s="1"/>
  <c r="F38" i="26"/>
  <c r="H38" i="26" s="1"/>
  <c r="F36" i="26"/>
  <c r="H36" i="26" s="1"/>
  <c r="F34" i="26"/>
  <c r="H34" i="26" s="1"/>
  <c r="I34" i="26" s="1"/>
  <c r="J34" i="26" s="1"/>
  <c r="F33" i="26"/>
  <c r="H33" i="26" s="1"/>
  <c r="F31" i="26"/>
  <c r="H31" i="26" s="1"/>
  <c r="I31" i="26" s="1"/>
  <c r="F29" i="26"/>
  <c r="H29" i="26" s="1"/>
  <c r="F26" i="26"/>
  <c r="H26" i="26" s="1"/>
  <c r="F25" i="26"/>
  <c r="H25" i="26" s="1"/>
  <c r="I25" i="26" s="1"/>
  <c r="F23" i="26"/>
  <c r="H23" i="26" s="1"/>
  <c r="F21" i="26"/>
  <c r="H21" i="26" s="1"/>
  <c r="F19" i="26"/>
  <c r="H19" i="26" s="1"/>
  <c r="I19" i="26" s="1"/>
  <c r="J19" i="26" s="1"/>
  <c r="F17" i="26"/>
  <c r="H17" i="26" s="1"/>
  <c r="F16" i="26"/>
  <c r="H16" i="26" s="1"/>
  <c r="I16" i="26" s="1"/>
  <c r="H15" i="26"/>
  <c r="F13" i="26"/>
  <c r="H13" i="26" s="1"/>
  <c r="L22" i="26" l="1"/>
  <c r="L48" i="26"/>
  <c r="L30" i="26"/>
  <c r="L37" i="26"/>
  <c r="L19" i="26"/>
  <c r="L28" i="26"/>
  <c r="L34" i="26"/>
  <c r="I14" i="26"/>
  <c r="F10" i="26"/>
  <c r="H10" i="27"/>
  <c r="F10" i="27"/>
  <c r="H10" i="26"/>
  <c r="J44" i="26"/>
  <c r="J16" i="26"/>
  <c r="J31" i="26"/>
  <c r="I20" i="27"/>
  <c r="J20" i="27" s="1"/>
  <c r="L20" i="27" s="1"/>
  <c r="I39" i="27"/>
  <c r="J39" i="27" s="1"/>
  <c r="L39" i="27" s="1"/>
  <c r="I46" i="27"/>
  <c r="J46" i="27" s="1"/>
  <c r="L46" i="27" s="1"/>
  <c r="I21" i="27"/>
  <c r="J21" i="27" s="1"/>
  <c r="L21" i="27" s="1"/>
  <c r="I26" i="27"/>
  <c r="J26" i="27" s="1"/>
  <c r="L26" i="27" s="1"/>
  <c r="I41" i="27"/>
  <c r="J41" i="27" s="1"/>
  <c r="L41" i="27" s="1"/>
  <c r="I47" i="27"/>
  <c r="J47" i="27" s="1"/>
  <c r="L47" i="27" s="1"/>
  <c r="I22" i="27"/>
  <c r="J22" i="27" s="1"/>
  <c r="L22" i="27" s="1"/>
  <c r="I27" i="27"/>
  <c r="J27" i="27" s="1"/>
  <c r="L27" i="27" s="1"/>
  <c r="I29" i="27"/>
  <c r="J29" i="27" s="1"/>
  <c r="L29" i="27" s="1"/>
  <c r="I30" i="27"/>
  <c r="J30" i="27" s="1"/>
  <c r="L30" i="27" s="1"/>
  <c r="I35" i="27"/>
  <c r="J35" i="27" s="1"/>
  <c r="L35" i="27" s="1"/>
  <c r="I11" i="27"/>
  <c r="J11" i="27" s="1"/>
  <c r="L11" i="27" s="1"/>
  <c r="I31" i="27"/>
  <c r="J31" i="27" s="1"/>
  <c r="L31" i="27" s="1"/>
  <c r="I36" i="27"/>
  <c r="J36" i="27" s="1"/>
  <c r="L36" i="27" s="1"/>
  <c r="I12" i="27"/>
  <c r="J12" i="27" s="1"/>
  <c r="L12" i="27" s="1"/>
  <c r="I18" i="27"/>
  <c r="J18" i="27" s="1"/>
  <c r="L18" i="27" s="1"/>
  <c r="I37" i="27"/>
  <c r="J37" i="27" s="1"/>
  <c r="L37" i="27" s="1"/>
  <c r="I44" i="27"/>
  <c r="J44" i="27" s="1"/>
  <c r="L44" i="27" s="1"/>
  <c r="I14" i="27"/>
  <c r="J14" i="27" s="1"/>
  <c r="L14" i="27" s="1"/>
  <c r="I19" i="27"/>
  <c r="J19" i="27" s="1"/>
  <c r="L19" i="27" s="1"/>
  <c r="I38" i="27"/>
  <c r="J38" i="27" s="1"/>
  <c r="L38" i="27" s="1"/>
  <c r="I45" i="27"/>
  <c r="J45" i="27" s="1"/>
  <c r="L45" i="27" s="1"/>
  <c r="J17" i="27"/>
  <c r="L17" i="27" s="1"/>
  <c r="J25" i="27"/>
  <c r="L25" i="27" s="1"/>
  <c r="J34" i="27"/>
  <c r="L34" i="27" s="1"/>
  <c r="J43" i="27"/>
  <c r="L43" i="27" s="1"/>
  <c r="I24" i="27"/>
  <c r="J24" i="27" s="1"/>
  <c r="L24" i="27" s="1"/>
  <c r="I33" i="27"/>
  <c r="J33" i="27" s="1"/>
  <c r="L33" i="27" s="1"/>
  <c r="I42" i="27"/>
  <c r="J42" i="27" s="1"/>
  <c r="L42" i="27" s="1"/>
  <c r="J16" i="27"/>
  <c r="L16" i="27" s="1"/>
  <c r="I17" i="26"/>
  <c r="J17" i="26" s="1"/>
  <c r="I40" i="26"/>
  <c r="J40" i="26" s="1"/>
  <c r="I42" i="26"/>
  <c r="J42" i="26" s="1"/>
  <c r="I33" i="26"/>
  <c r="J33" i="26" s="1"/>
  <c r="I23" i="26"/>
  <c r="J23" i="26" s="1"/>
  <c r="I13" i="26"/>
  <c r="J13" i="26" s="1"/>
  <c r="I46" i="26"/>
  <c r="J46" i="26" s="1"/>
  <c r="I15" i="26"/>
  <c r="J15" i="26" s="1"/>
  <c r="I26" i="26"/>
  <c r="J26" i="26" s="1"/>
  <c r="L26" i="26" s="1"/>
  <c r="I38" i="26"/>
  <c r="J38" i="26" s="1"/>
  <c r="I29" i="26"/>
  <c r="J29" i="26" s="1"/>
  <c r="L29" i="26" s="1"/>
  <c r="I39" i="26"/>
  <c r="J39" i="26" s="1"/>
  <c r="I36" i="26"/>
  <c r="J36" i="26" s="1"/>
  <c r="L36" i="26" s="1"/>
  <c r="I21" i="26"/>
  <c r="J21" i="26" s="1"/>
  <c r="L21" i="26" s="1"/>
  <c r="J25" i="26"/>
  <c r="L46" i="26" l="1"/>
  <c r="L13" i="26"/>
  <c r="L16" i="26"/>
  <c r="L25" i="26"/>
  <c r="L23" i="26"/>
  <c r="L38" i="26"/>
  <c r="L33" i="26"/>
  <c r="L42" i="26"/>
  <c r="L40" i="26"/>
  <c r="L39" i="26"/>
  <c r="L15" i="26"/>
  <c r="L17" i="26"/>
  <c r="L44" i="26"/>
  <c r="L31" i="26"/>
  <c r="J14" i="26"/>
  <c r="I10" i="26"/>
  <c r="L14" i="26" l="1"/>
  <c r="I10" i="27"/>
  <c r="J10" i="26"/>
  <c r="J10" i="27" l="1"/>
  <c r="L10" i="26" l="1"/>
  <c r="M10" i="27"/>
  <c r="L10" i="27"/>
  <c r="M10" i="26"/>
  <c r="E25" i="34" l="1"/>
  <c r="E24" i="34" s="1"/>
  <c r="D25" i="34"/>
  <c r="D24" i="34" s="1"/>
  <c r="D23" i="34" s="1"/>
  <c r="E23" i="34" l="1"/>
  <c r="E13" i="34"/>
  <c r="E11" i="34" s="1"/>
  <c r="E10" i="34" s="1"/>
  <c r="E41" i="34" l="1"/>
  <c r="E42" i="34"/>
  <c r="D13" i="34" l="1"/>
  <c r="D11" i="34" s="1"/>
  <c r="D10" i="34" s="1"/>
  <c r="D42" i="34" l="1"/>
  <c r="D41" i="34"/>
  <c r="C24" i="34" l="1"/>
  <c r="C23" i="34" s="1"/>
  <c r="C41" i="34" s="1"/>
  <c r="C42" i="34" l="1"/>
</calcChain>
</file>

<file path=xl/sharedStrings.xml><?xml version="1.0" encoding="utf-8"?>
<sst xmlns="http://schemas.openxmlformats.org/spreadsheetml/2006/main" count="697" uniqueCount="288">
  <si>
    <t>ĐVT: Trđ</t>
  </si>
  <si>
    <t>Nội dung</t>
  </si>
  <si>
    <t>I</t>
  </si>
  <si>
    <t>Nguồn thu xác định mức độ tự chủ (A)</t>
  </si>
  <si>
    <t>Nguồn thu từ hoạt động cung cấp dịch vụ sự nghiệp công sử dụng NSNN gồm:</t>
  </si>
  <si>
    <t>1.1</t>
  </si>
  <si>
    <t>1.2</t>
  </si>
  <si>
    <t>Thu từ nguồn NSNN đặt hàng hoặc đấu thầu cung cấp dịch vụ</t>
  </si>
  <si>
    <t>Nguồn thu phí theo luật phí và lệ phí (phần được để lại chi thường xuyên theo quy định)</t>
  </si>
  <si>
    <t>Chi thường xuyên giao tự chủ (B)</t>
  </si>
  <si>
    <t>Chi tiền lương tiền công, các khoản phụ cấp, đóng góp theo lương</t>
  </si>
  <si>
    <t>II</t>
  </si>
  <si>
    <t>Tỷ lệ đảm bảo chi thường xuyên (%) =A/B*100%</t>
  </si>
  <si>
    <t>NSNN hỗ trợ chi thường xuyên (đối với đơn vị nhóm 3, nhóm 4)</t>
  </si>
  <si>
    <t>Phân phối kết quả tài chính  trong năm: Chênh lệch thu lớn hơn chi thường xuyên trích lập các quỹ (Mục I+Mục IV- Mục II) + phần trích khấu hao TSCĐ</t>
  </si>
  <si>
    <t>Trích lập quỹ phát triển hoạt động sự nghiệp</t>
  </si>
  <si>
    <t>- Từ chênh lệch thu chi thường xuyên</t>
  </si>
  <si>
    <t>- Từ trích khấu hao TSCĐ</t>
  </si>
  <si>
    <t>Trích lập quỹ bổ sung thu nhập</t>
  </si>
  <si>
    <t>Trích lập quỹ khen thưởng, phúc lợi</t>
  </si>
  <si>
    <t>Trích lập quỹ khác (nếu có)</t>
  </si>
  <si>
    <t>Đối với đơn vị nhóm 4, báo cáo về tình hình sử dụng số kinh phí chi thường xuyên tiết kiệm được theo quy định tại điều 22 Nghị định số 60/2021/NĐ-CP</t>
  </si>
  <si>
    <t>Dưới 1 lần quỹ tiền lương</t>
  </si>
  <si>
    <t>Từ 1 lần đến 2 lần quỹ tiền lương</t>
  </si>
  <si>
    <t>Từ trên 2 lần đến 3 lần quỹ tiền lương</t>
  </si>
  <si>
    <t>Từ trên 3 lần quỹ tiền lương</t>
  </si>
  <si>
    <t>Người có thu nhập tăng thêm cao nhất của đơn vị (Trđ/tháng)</t>
  </si>
  <si>
    <t>Người có thu nhập tăng thêm thấp nhất của đơn vị (Trđ/tháng)</t>
  </si>
  <si>
    <t>VII</t>
  </si>
  <si>
    <t>VI</t>
  </si>
  <si>
    <t>V</t>
  </si>
  <si>
    <t>IV</t>
  </si>
  <si>
    <t>III</t>
  </si>
  <si>
    <t>A</t>
  </si>
  <si>
    <t>B</t>
  </si>
  <si>
    <t>Nguồn thu từ hoạt động liên kết đào tạo</t>
  </si>
  <si>
    <t>Trong đó:</t>
  </si>
  <si>
    <t>Ghi chú</t>
  </si>
  <si>
    <t>TT</t>
  </si>
  <si>
    <t>Nội dung (1)</t>
  </si>
  <si>
    <t xml:space="preserve">Tổng hệ số lương, PC và ĐG </t>
  </si>
  <si>
    <t>Tổng hệ số Lương NB, CV</t>
  </si>
  <si>
    <t>Tổng hệ số các khoản phụ cấp</t>
  </si>
  <si>
    <t>Các khoản đóng góp BHXH, YT, CĐ (22,5%)</t>
  </si>
  <si>
    <t>Bảo hiểm thất nghiệp (1%)</t>
  </si>
  <si>
    <t>PC chức vụ</t>
  </si>
  <si>
    <t>PC thâm niên vượt khung</t>
  </si>
  <si>
    <t>PC thâm niên nghề</t>
  </si>
  <si>
    <t>PC công vụ</t>
  </si>
  <si>
    <t>PC công tác đảng, đoàn thể theo HD 05</t>
  </si>
  <si>
    <t>PC Khu vực</t>
  </si>
  <si>
    <t>PC ưu đãi nghề</t>
  </si>
  <si>
    <t>PC Thu hút</t>
  </si>
  <si>
    <t>PC Đặc biệt</t>
  </si>
  <si>
    <t>PC lâu năm ở vùng ĐBKK</t>
  </si>
  <si>
    <t>Phụ cấp kiêm nhiệm (3)</t>
  </si>
  <si>
    <t>Các Phụ cấp khác (2)</t>
  </si>
  <si>
    <t>3=4+5+18+19</t>
  </si>
  <si>
    <t>5=6+ ...17</t>
  </si>
  <si>
    <t xml:space="preserve">Tổng số: </t>
  </si>
  <si>
    <t>SN giáo dục</t>
  </si>
  <si>
    <t>NGƯỜI LẬP</t>
  </si>
  <si>
    <t>Tiền lương, phụ cấp và các khoản đóng góp</t>
  </si>
  <si>
    <t>Chi khác</t>
  </si>
  <si>
    <t>Thu từ hoạt động cung cấp dịch vụ sự nghiệp công không sử dụng ngân sách nhà nước, hoạt động sản xuất kinh doanh, liên doanh liên kết, (chỉ tính phần chênh lệch thu lớn hơn chi sau khi đã thực hiện các nghĩa vụ với NN theo quy định)</t>
  </si>
  <si>
    <t>Thu từ người thụ hưởng dịch vụ (như học phí, thu từ dịch vụ…)</t>
  </si>
  <si>
    <t>Thu từ nhiệm vụ khoa học và công nghệ khi được cơ quan có thẩm quyền tuyển chọn hoặc giao trực tiếp theo quy định (áp dụng đối với tổ chức khoa học công nghệ công lập)</t>
  </si>
  <si>
    <t>Thu nhập tăng thêm bình quân của đơn vị (tính trên 1 người/ tháng)</t>
  </si>
  <si>
    <t>4.1</t>
  </si>
  <si>
    <t>4.2</t>
  </si>
  <si>
    <t>Nguồn kinh phí NSNN cấp chi thường xuyên không giao tự chủ, nếu có (chi tiết theo nội dung nhiệm vụ)</t>
  </si>
  <si>
    <t>HIỆU TRƯỞNG</t>
  </si>
  <si>
    <t>21 = 5/ 2</t>
  </si>
  <si>
    <t>Mức thu</t>
  </si>
  <si>
    <t>PHÒNG GD&amp;ĐT ĐÔNG TRIỀU</t>
  </si>
  <si>
    <t>Chi thanh toán dịch vụ công cộng</t>
  </si>
  <si>
    <t>Chi sửa chữa duy tu tài sản  phục vụ công tác chuyên môn, chi phí nghiệp vụ chuyên môn</t>
  </si>
  <si>
    <t>Chi lương giáo viên dạy trẻ khuyết tật</t>
  </si>
  <si>
    <t>Chi thanh toán cá nhân</t>
  </si>
  <si>
    <t>Chi nghiệp vụ chuyên môn</t>
  </si>
  <si>
    <t xml:space="preserve"> </t>
  </si>
  <si>
    <t>Chi hoạt động chuyên môn</t>
  </si>
  <si>
    <t>Thực hiện năm 2023</t>
  </si>
  <si>
    <t>ĐVT: Triệu đồng</t>
  </si>
  <si>
    <t>Biều mẫu số báo cáo 01- Phụ lục số 02</t>
  </si>
  <si>
    <t xml:space="preserve"> - Thu học phí (100% số thu học phí)</t>
  </si>
  <si>
    <t xml:space="preserve"> - Thu cấp bù học phí</t>
  </si>
  <si>
    <t xml:space="preserve"> - Thu miễn giảm học phí</t>
  </si>
  <si>
    <t>a</t>
  </si>
  <si>
    <t xml:space="preserve"> - Thu hỗ trợ điểm trưởng ngoài trường chính (50 trđ/ 1 điểm)</t>
  </si>
  <si>
    <t>STT</t>
  </si>
  <si>
    <t xml:space="preserve"> PHÒNG GIÁO DỤC VÀ ĐÀO TẠO</t>
  </si>
  <si>
    <t xml:space="preserve"> - Kinh phí phân bổ các trường Tiểu học không có thu học phí 400 nghìn đồng/1hs</t>
  </si>
  <si>
    <t>Chi lương và chi thường xuyên theo NQ66/2021</t>
  </si>
  <si>
    <t>Thủ trưởng đơn vị</t>
  </si>
  <si>
    <t>Năm 2025</t>
  </si>
  <si>
    <t>Năm 2024</t>
  </si>
  <si>
    <t>NB</t>
  </si>
  <si>
    <t>CV</t>
  </si>
  <si>
    <t>VK</t>
  </si>
  <si>
    <t>TNN</t>
  </si>
  <si>
    <t>KV</t>
  </si>
  <si>
    <t>UD</t>
  </si>
  <si>
    <t>Khác</t>
  </si>
  <si>
    <t>ĐG</t>
  </si>
  <si>
    <t>TỔNG HỢP QUỸ LƯƠNG PHỤ CẤP, TRỢ CẤP VÀ CÁC KHOẢN ĐÓNG GÓP (BHXH, YT, CĐ, BHTN) THÁNG 01/2024</t>
  </si>
  <si>
    <t>Hệ số quỹ lương, phụ cấp và các khoản đóng góp (BHXH, YT, CĐ và BHTN) đang hưởng tháng 01/2024 (hệ số)</t>
  </si>
  <si>
    <t>Bao gồm:</t>
  </si>
  <si>
    <t>Chi phúc lợi tập thể</t>
  </si>
  <si>
    <t>Tiền thưởng</t>
  </si>
  <si>
    <t>Các khoản thanh toán khác cho cá nhân</t>
  </si>
  <si>
    <t>Thanh toán dịch vụ công cộng (Bao gồm: Tiền điện, tiền nước, tiền nhiên liệu, tiền vệ sinh môi trường, chi khác)</t>
  </si>
  <si>
    <t>Văn phòng phẩm</t>
  </si>
  <si>
    <t>Thông tin tuyên truyền liên lạc</t>
  </si>
  <si>
    <t>Hội nghị</t>
  </si>
  <si>
    <t>Chi thuê mướn</t>
  </si>
  <si>
    <t>Chi sửa chữa, duy tu tài sản phục vụ công tác chuyên môn và các công trình cơ sở hạ tầng khác</t>
  </si>
  <si>
    <t>Mua sắm tài sản phục vụ công tác chuyên môn</t>
  </si>
  <si>
    <t>Chi phí nghiệp vụ chuyên môn của từng ngành</t>
  </si>
  <si>
    <t>Mua sắm tài sản vô hình</t>
  </si>
  <si>
    <t>Chi hỗ trợ trẻ em ( Hỗ trợ ăn trưa, hỗ trợ chi phí học tâp,miễn giảm học phí)</t>
  </si>
  <si>
    <t>2.1</t>
  </si>
  <si>
    <t>2.2</t>
  </si>
  <si>
    <t>2.3</t>
  </si>
  <si>
    <t>2.4</t>
  </si>
  <si>
    <t>2.5</t>
  </si>
  <si>
    <t>2.6</t>
  </si>
  <si>
    <t>2.7</t>
  </si>
  <si>
    <t>2.8</t>
  </si>
  <si>
    <t>2.9</t>
  </si>
  <si>
    <t>2.10</t>
  </si>
  <si>
    <t>2.11</t>
  </si>
  <si>
    <t>2.12</t>
  </si>
  <si>
    <t>2.13</t>
  </si>
  <si>
    <t>Biểu 04</t>
  </si>
  <si>
    <t>Họ và tên</t>
  </si>
  <si>
    <t>Hệ số lương hiện hưởng</t>
  </si>
  <si>
    <t>Hệ số phụ cấp TNVK</t>
  </si>
  <si>
    <t>Hệ số phụ cấp chức vụ</t>
  </si>
  <si>
    <t>Cộng hệ số</t>
  </si>
  <si>
    <t>Chênh lệch tăng hệ số quỹ lương, 
phụ cấp và các khoản đóng góp</t>
  </si>
  <si>
    <t>Số tháng tăng</t>
  </si>
  <si>
    <t>Tổng hệ số tăng trong năm</t>
  </si>
  <si>
    <r>
      <t xml:space="preserve">Tổng nhu cầu Kinh phí tăng thêm </t>
    </r>
    <r>
      <rPr>
        <i/>
        <sz val="10"/>
        <rFont val="Times New Roman"/>
        <family val="1"/>
      </rPr>
      <t>(Triệu đồng)</t>
    </r>
  </si>
  <si>
    <r>
      <t xml:space="preserve">Ghi chú
</t>
    </r>
    <r>
      <rPr>
        <i/>
        <sz val="10"/>
        <rFont val="Times New Roman"/>
        <family val="1"/>
      </rPr>
      <t>(tăng từ tháng năm)</t>
    </r>
  </si>
  <si>
    <t>% PC TNN tăng thêm</t>
  </si>
  <si>
    <t>Chênh lệch hệ số PC TNN</t>
  </si>
  <si>
    <t>Các khoản đóng góp</t>
  </si>
  <si>
    <t>Tổng hệ số tăng thêm</t>
  </si>
  <si>
    <t>4 = 1+2+3</t>
  </si>
  <si>
    <t>6 = 4*5</t>
  </si>
  <si>
    <t>8=6+7</t>
  </si>
  <si>
    <t>10=8*9</t>
  </si>
  <si>
    <t>C</t>
  </si>
  <si>
    <t>TỔNG CỘNG</t>
  </si>
  <si>
    <t>NGƯỜI LẬP BIỂU</t>
  </si>
  <si>
    <t>Biểu 03</t>
  </si>
  <si>
    <t>Chênh lệch tăng hệ số quỹ lương, phụ cấp và các khoản đóng góp</t>
  </si>
  <si>
    <t>Tổng hệ số tăng lương</t>
  </si>
  <si>
    <t>Hệ số lương NB cũ</t>
  </si>
  <si>
    <t>Hệ số lương NB mới</t>
  </si>
  <si>
    <t>Chênh lệch hệ số lương NB</t>
  </si>
  <si>
    <t>Chênh lệch phụ cấp tăng theo</t>
  </si>
  <si>
    <t>Trong đó</t>
  </si>
  <si>
    <t>5=4-3</t>
  </si>
  <si>
    <t>BẢNG TỔNG HỢP NHU CẦU KINH PHÍ TĂNG PHỤ CẤP THÂM NIÊN NGHỀ NĂM 2024</t>
  </si>
  <si>
    <t>BẢNG TỔNG HỢP NHU CẦU KINH PHÍ TĂNG PHỤ CẤP THÂM NIÊN NGHỀ NĂM 2025</t>
  </si>
  <si>
    <t>BẢNG TỔNG HỢP NHU CẦU KINH PHÍ TĂNG LƯƠNG NĂM 2024</t>
  </si>
  <si>
    <t>BẢNG TỔNG HỢP NHU CẦU KINH PHÍ TĂNG LƯƠNG NĂM 2025</t>
  </si>
  <si>
    <t>Biên chế được giao hoặc phê duyệt 2024</t>
  </si>
  <si>
    <t>% TNVK cũ</t>
  </si>
  <si>
    <t>Hệ số TNVK cũ</t>
  </si>
  <si>
    <t>% TNVK mới</t>
  </si>
  <si>
    <t>Hệ số TNVK mới</t>
  </si>
  <si>
    <t>Chênh lệch hệ số</t>
  </si>
  <si>
    <t>Tổng nhu cầu kinh phí tăng lương (Triệu đồng)</t>
  </si>
  <si>
    <t>Nâng TNVK</t>
  </si>
  <si>
    <t>12=5*(%) TNN</t>
  </si>
  <si>
    <t>13=5*(%) UĐ</t>
  </si>
  <si>
    <r>
      <t xml:space="preserve">Ghi chú
</t>
    </r>
    <r>
      <rPr>
        <b/>
        <i/>
        <sz val="9"/>
        <rFont val="Times New Roman"/>
        <family val="1"/>
      </rPr>
      <t>(tăng từ tháng)</t>
    </r>
  </si>
  <si>
    <t>17=15*16</t>
  </si>
  <si>
    <t>15=5+10+11+14</t>
  </si>
  <si>
    <t xml:space="preserve"> 11/2024</t>
  </si>
  <si>
    <t xml:space="preserve"> 8/2024</t>
  </si>
  <si>
    <t>Số đối tượng có mặt đến tháng 01/ 2024</t>
  </si>
  <si>
    <t>7 = 6*22,5%</t>
  </si>
  <si>
    <t>14=
(5+11+12)*23,5%</t>
  </si>
  <si>
    <t>TỔNG HỢP QUỸ LƯƠNG PHỤ CẤP, TRỢ CẤP VÀ CÁC KHOẢN ĐÓNG GÓP (BHXH, YT, CĐ, BHTN) THÁNG 01/2025</t>
  </si>
  <si>
    <t>Biên chế được giao hoặc phê duyệt 2025</t>
  </si>
  <si>
    <t>Số đối tượng có mặt đến tháng 01/ 2025</t>
  </si>
  <si>
    <t>Hệ số quỹ lương, phụ cấp và các khoản đóng góp (BHXH, YT, CĐ và BHTN) đang hưởng tháng 01/2025 (hệ số)</t>
  </si>
  <si>
    <t xml:space="preserve"> 5/2024</t>
  </si>
  <si>
    <t>Tổng lương</t>
  </si>
  <si>
    <t>Học kỳ I năm học 2025-2026</t>
  </si>
  <si>
    <t>20=3*1,8</t>
  </si>
  <si>
    <t>Phụ lục 01:</t>
  </si>
  <si>
    <t>PHỤ BIỂU: TỔNG HỢP THU HỌC PHÍ NĂM 2024</t>
  </si>
  <si>
    <t>TÊN TRƯỜNG</t>
  </si>
  <si>
    <t>Học kỳ II năm học 2023-2024</t>
  </si>
  <si>
    <t>Học kỳ I năm học 2024-2025</t>
  </si>
  <si>
    <t>Số HS 5 tháng</t>
  </si>
  <si>
    <t>Số HS 4 tháng</t>
  </si>
  <si>
    <t>Số HS 3 tháng</t>
  </si>
  <si>
    <t>Số HS 2 tháng</t>
  </si>
  <si>
    <t>Số HS 1 tháng</t>
  </si>
  <si>
    <t>Trường THCS …</t>
  </si>
  <si>
    <t>PHỤ BIỂU: TỔNG HỢP THU HỌC PHÍ NĂM 2025</t>
  </si>
  <si>
    <t>Học kỳ II năm học 2024-2025</t>
  </si>
  <si>
    <t>Khối lớp 6</t>
  </si>
  <si>
    <t>Khối lớp 7</t>
  </si>
  <si>
    <t>Khối lớp 8</t>
  </si>
  <si>
    <t>Khối lớp 9</t>
  </si>
  <si>
    <t>Tổng tiền (Tr.đồng)</t>
  </si>
  <si>
    <t>Tổng cộng năm 2024 (Tr.đ)</t>
  </si>
  <si>
    <t>Tổng số HS</t>
  </si>
  <si>
    <t>Tổng cộng năm 2025 (tr.đ)</t>
  </si>
  <si>
    <t>Mức thu (tr.đ)</t>
  </si>
  <si>
    <t>DỰ TOÁN THU CHI NGÂN SÁCH NHÀ NƯỚC GIAI ĐOẠN NĂM 2023-2025</t>
  </si>
  <si>
    <t>Dự kiến giai đoạn 2023-2025</t>
  </si>
  <si>
    <t>Phạm Thị Phú</t>
  </si>
  <si>
    <t>Đặng Minh Đức</t>
  </si>
  <si>
    <t>Phạm Đức Phong</t>
  </si>
  <si>
    <t>Trần Thị Kim Sáu</t>
  </si>
  <si>
    <t>Hà Thị Thanh Nhàn</t>
  </si>
  <si>
    <t>Trần Thị Hà</t>
  </si>
  <si>
    <t>Nguyễn Thị Mai Lâm</t>
  </si>
  <si>
    <t>Nguyễn Thị Thảo</t>
  </si>
  <si>
    <t>Quang Thị Thu Hoà</t>
  </si>
  <si>
    <t>Bùi Thị Hải Hưng</t>
  </si>
  <si>
    <t>Trịnh Thị Yến</t>
  </si>
  <si>
    <t>Lê Thị Thanh Hải</t>
  </si>
  <si>
    <t>Ngô Thị The</t>
  </si>
  <si>
    <t>Nguyễn Thị Hảo</t>
  </si>
  <si>
    <t xml:space="preserve">Bùi Thị  Thi Trang </t>
  </si>
  <si>
    <t>Lương Minh Tuyết</t>
  </si>
  <si>
    <t>Hoàng Thị Tuyết Nhung</t>
  </si>
  <si>
    <t>Vũ Thị Loan</t>
  </si>
  <si>
    <t>Trần Nguyệt Vân</t>
  </si>
  <si>
    <t>Vũ Thị Hồng Hưng</t>
  </si>
  <si>
    <t>Phạm Văn Quang</t>
  </si>
  <si>
    <t>Phạm Thị Quên</t>
  </si>
  <si>
    <t>Phạm Thị Thu Phương</t>
  </si>
  <si>
    <t>Trần Thị Thu Hiền</t>
  </si>
  <si>
    <t>Nguyễn Thị Thuý Hà</t>
  </si>
  <si>
    <t>Nguyễn Thị Thùy Yên</t>
  </si>
  <si>
    <t>Thân Trọng Văn</t>
  </si>
  <si>
    <t>Nguyễn T.Thùy Dung</t>
  </si>
  <si>
    <t>Mạc Thị Đan</t>
  </si>
  <si>
    <t>Hoàng Thị Hương</t>
  </si>
  <si>
    <t>Đặng Thị Thanh Hồng</t>
  </si>
  <si>
    <t>Phạm Thị Tuyết Linh</t>
  </si>
  <si>
    <t>Hoàng Thị Thùy Dương</t>
  </si>
  <si>
    <t>Vũ Thị Thu Huyền</t>
  </si>
  <si>
    <t>Đinh Văn Toàn</t>
  </si>
  <si>
    <t>Nguyễn Thị Diệu Hoa</t>
  </si>
  <si>
    <t>Hứa Thị Kim Ánh</t>
  </si>
  <si>
    <t>Nguyễn Thị Bích</t>
  </si>
  <si>
    <t>Phạm Thị Huệ</t>
  </si>
  <si>
    <t>Hoàng Thị Xuân Thúy</t>
  </si>
  <si>
    <t>Vũ Thị Phương</t>
  </si>
  <si>
    <t>Nguyễn Thị Thu Trang</t>
  </si>
  <si>
    <t>Mạo Khê, ngày 02 tháng 10 năm 2024</t>
  </si>
  <si>
    <t>Đặng Thị Hải</t>
  </si>
  <si>
    <t>TRƯỜNG THCS MẠO KHÊ I</t>
  </si>
  <si>
    <t xml:space="preserve"> 7/2024</t>
  </si>
  <si>
    <t xml:space="preserve">Ngày 02 tháng 10 năm 2024   </t>
  </si>
  <si>
    <t>Nguyển Thị Diệu Hoa</t>
  </si>
  <si>
    <t>Trần Thị Nguyệt Vân</t>
  </si>
  <si>
    <t>1/2024</t>
  </si>
  <si>
    <t>2/2024</t>
  </si>
  <si>
    <t>3/2024</t>
  </si>
  <si>
    <t>4/2024</t>
  </si>
  <si>
    <t>5/2024</t>
  </si>
  <si>
    <t>6/2024</t>
  </si>
  <si>
    <t>7/2024</t>
  </si>
  <si>
    <t>8/2024</t>
  </si>
  <si>
    <t>9/2024</t>
  </si>
  <si>
    <t>10/2024</t>
  </si>
  <si>
    <t>11/2024</t>
  </si>
  <si>
    <t>12/2024</t>
  </si>
  <si>
    <t xml:space="preserve">   TRƯỜNG THCS MẠO KHÊ I</t>
  </si>
  <si>
    <t>(Kèm theo tờ trình số: ….../TTr-THCS  ngày 02 tháng 10 năm 2024 của Trường THCS Mạo Khê I)</t>
  </si>
  <si>
    <t>Trường THCS Mạo Khê I</t>
  </si>
  <si>
    <t>Ngày 02 tháng 10 năm 2024</t>
  </si>
  <si>
    <r>
      <t xml:space="preserve">Ghi chú
</t>
    </r>
    <r>
      <rPr>
        <b/>
        <i/>
        <sz val="8"/>
        <rFont val="Times New Roman"/>
        <family val="1"/>
      </rPr>
      <t>(tăng từ tháng)</t>
    </r>
  </si>
  <si>
    <t xml:space="preserve">                                                   Người lập biểu</t>
  </si>
  <si>
    <t xml:space="preserve">                                             Hoàng Thị Xuân Thúy</t>
  </si>
  <si>
    <t>Tuyển mới</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</si>
</sst>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1" formatCode="_(* #,##0_);_(* \(#,##0\);_(* &quot;-&quot;_);_(@_)"/>
    <numFmt numFmtId="43" formatCode="_(* #,##0.00_);_(* \(#,##0.00\);_(* &quot;-&quot;??_);_(@_)"/>
    <numFmt numFmtId="164" formatCode="_-* #,##0.00\ _₫_-;\-* #,##0.00\ _₫_-;_-* &quot;-&quot;??\ _₫_-;_-@_-"/>
    <numFmt numFmtId="165" formatCode="_-* #,##0.00_-;\-* #,##0.00_-;_-* &quot;-&quot;??_-;_-@_-"/>
    <numFmt numFmtId="166" formatCode="0.000"/>
    <numFmt numFmtId="167" formatCode="#,##0.000"/>
    <numFmt numFmtId="168" formatCode="_(* #,##0.000_);_(* \(#,##0.000\);_(* &quot;-&quot;???_);_(@_)"/>
    <numFmt numFmtId="169" formatCode="_-* #,##0.000_-;\-* #,##0.000_-;_-* &quot;-&quot;??_-;_-@_-"/>
    <numFmt numFmtId="170" formatCode="#,##0.000000"/>
    <numFmt numFmtId="171" formatCode="#,##0.0000"/>
    <numFmt numFmtId="172" formatCode="_(* #,##0_);_(* \(#,##0\);_(* &quot;-&quot;??_);_(@_)"/>
    <numFmt numFmtId="173" formatCode="_(* #,##0.00_);_(* \(#,##0.00\);_(* &quot;-&quot;_);_(@_)"/>
    <numFmt numFmtId="174" formatCode="_(* #,##0.0_);_(* \(#,##0.0\);_(* &quot;-&quot;_);_(@_)"/>
    <numFmt numFmtId="175" formatCode="_(* #,##0.000_);_(* \(#,##0.000\);_(* &quot;-&quot;??_);_(@_)"/>
    <numFmt numFmtId="176" formatCode="#,##0.0"/>
    <numFmt numFmtId="177" formatCode="0.0"/>
    <numFmt numFmtId="178" formatCode="_(* #,##0.0_);_(* \(#,##0.0\);_(* &quot;-&quot;??_);_(@_)"/>
  </numFmts>
  <fonts count="56" x14ac:knownFonts="1">
    <font>
      <sz val="11"/>
      <color theme="1"/>
      <name val="Calibri"/>
      <family val="2"/>
      <charset val="163"/>
      <scheme val="minor"/>
    </font>
    <font>
      <sz val="12"/>
      <color theme="1"/>
      <name val="Times New Roman"/>
      <family val="1"/>
    </font>
    <font>
      <b/>
      <sz val="12"/>
      <color theme="1"/>
      <name val="Times New Roman"/>
      <family val="1"/>
    </font>
    <font>
      <sz val="11"/>
      <color theme="1"/>
      <name val="Calibri"/>
      <family val="2"/>
      <charset val="163"/>
      <scheme val="minor"/>
    </font>
    <font>
      <b/>
      <sz val="12"/>
      <color rgb="FFFF0000"/>
      <name val="Times New Roman"/>
      <family val="1"/>
    </font>
    <font>
      <sz val="12"/>
      <color rgb="FFFF0000"/>
      <name val="Times New Roman"/>
      <family val="1"/>
    </font>
    <font>
      <sz val="12"/>
      <name val="Times New Roman"/>
      <family val="1"/>
    </font>
    <font>
      <sz val="8"/>
      <name val="Times New Roman"/>
      <family val="1"/>
    </font>
    <font>
      <b/>
      <sz val="12"/>
      <name val="Times New Roman"/>
      <family val="1"/>
    </font>
    <font>
      <b/>
      <sz val="9"/>
      <name val="Times New Roman"/>
      <family val="1"/>
    </font>
    <font>
      <b/>
      <sz val="8"/>
      <name val="Times New Roman"/>
      <family val="1"/>
    </font>
    <font>
      <sz val="11"/>
      <name val="Times New Roman"/>
      <family val="1"/>
    </font>
    <font>
      <b/>
      <sz val="10"/>
      <name val="Times New Roman"/>
      <family val="1"/>
    </font>
    <font>
      <sz val="10"/>
      <name val="Times New Roman"/>
      <family val="1"/>
    </font>
    <font>
      <i/>
      <sz val="10"/>
      <name val="Times New Roman"/>
      <family val="1"/>
    </font>
    <font>
      <sz val="12"/>
      <name val=".VnTime"/>
      <family val="2"/>
    </font>
    <font>
      <sz val="10"/>
      <name val="Arial"/>
      <family val="2"/>
    </font>
    <font>
      <sz val="11"/>
      <color theme="1"/>
      <name val="Calibri"/>
      <family val="2"/>
      <scheme val="minor"/>
    </font>
    <font>
      <sz val="9"/>
      <name val="Times New Roman"/>
      <family val="1"/>
    </font>
    <font>
      <b/>
      <i/>
      <sz val="12"/>
      <name val="Times New Roman"/>
      <family val="1"/>
    </font>
    <font>
      <sz val="10"/>
      <color theme="1"/>
      <name val="Times New Roman"/>
      <family val="1"/>
    </font>
    <font>
      <b/>
      <sz val="11"/>
      <color theme="1"/>
      <name val="Calibri"/>
      <family val="2"/>
      <charset val="163"/>
      <scheme val="minor"/>
    </font>
    <font>
      <sz val="13"/>
      <name val=".VnTime"/>
      <family val="2"/>
    </font>
    <font>
      <sz val="8"/>
      <color theme="1"/>
      <name val=".VnTime"/>
      <family val="2"/>
    </font>
    <font>
      <i/>
      <sz val="12"/>
      <color theme="1"/>
      <name val="Times New Roman"/>
      <family val="1"/>
    </font>
    <font>
      <sz val="10"/>
      <color theme="1"/>
      <name val="Calibri"/>
      <family val="2"/>
      <charset val="163"/>
      <scheme val="minor"/>
    </font>
    <font>
      <b/>
      <u/>
      <sz val="9"/>
      <name val="Times New Roman"/>
      <family val="1"/>
    </font>
    <font>
      <sz val="9"/>
      <color theme="1"/>
      <name val="Times New Roman"/>
      <family val="1"/>
    </font>
    <font>
      <sz val="9"/>
      <color rgb="FFFF0000"/>
      <name val="Times New Roman"/>
      <family val="1"/>
    </font>
    <font>
      <b/>
      <i/>
      <sz val="10"/>
      <color theme="1"/>
      <name val="Times New Roman"/>
      <family val="1"/>
    </font>
    <font>
      <i/>
      <sz val="12"/>
      <color rgb="FFFF0000"/>
      <name val="Times New Roman"/>
      <family val="1"/>
    </font>
    <font>
      <b/>
      <sz val="11"/>
      <color theme="1"/>
      <name val="Times New Roman"/>
      <family val="1"/>
    </font>
    <font>
      <sz val="8"/>
      <color rgb="FFFF0000"/>
      <name val="Times New Roman"/>
      <family val="1"/>
    </font>
    <font>
      <b/>
      <sz val="9"/>
      <color rgb="FFFF0000"/>
      <name val="Times New Roman"/>
      <family val="1"/>
    </font>
    <font>
      <b/>
      <sz val="10"/>
      <color rgb="FFFF0000"/>
      <name val="Times New Roman"/>
      <family val="1"/>
    </font>
    <font>
      <b/>
      <i/>
      <sz val="11"/>
      <name val="Times New Roman"/>
      <family val="1"/>
    </font>
    <font>
      <i/>
      <sz val="12"/>
      <name val="Times New Roman"/>
      <family val="1"/>
    </font>
    <font>
      <b/>
      <sz val="11"/>
      <name val="Times New Roman"/>
      <family val="1"/>
    </font>
    <font>
      <sz val="13"/>
      <name val="Times New Roman"/>
      <family val="1"/>
    </font>
    <font>
      <b/>
      <sz val="13"/>
      <name val="Times New Roman"/>
      <family val="1"/>
    </font>
    <font>
      <i/>
      <sz val="13"/>
      <name val="Times New Roman"/>
      <family val="1"/>
    </font>
    <font>
      <b/>
      <sz val="14"/>
      <name val="Times New Roman"/>
      <family val="1"/>
    </font>
    <font>
      <sz val="11"/>
      <color theme="1"/>
      <name val="Times New Roman"/>
      <family val="1"/>
    </font>
    <font>
      <sz val="11"/>
      <name val="Times New Roman"/>
      <family val="1"/>
      <charset val="163"/>
    </font>
    <font>
      <b/>
      <i/>
      <sz val="9"/>
      <name val="Times New Roman"/>
      <family val="1"/>
    </font>
    <font>
      <b/>
      <i/>
      <sz val="12"/>
      <color theme="1"/>
      <name val="Times New Roman"/>
      <family val="1"/>
    </font>
    <font>
      <sz val="11"/>
      <name val="Calibri"/>
      <family val="2"/>
      <scheme val="minor"/>
    </font>
    <font>
      <i/>
      <sz val="14"/>
      <name val="Times New Roman"/>
      <family val="1"/>
    </font>
    <font>
      <sz val="8"/>
      <name val=".VnTime"/>
      <family val="2"/>
    </font>
    <font>
      <sz val="14"/>
      <name val="Times New Roman"/>
      <family val="1"/>
    </font>
    <font>
      <sz val="14"/>
      <color theme="1"/>
      <name val="Times New Roman"/>
      <family val="1"/>
    </font>
    <font>
      <b/>
      <sz val="14"/>
      <color theme="1"/>
      <name val="Times New Roman"/>
      <family val="1"/>
    </font>
    <font>
      <sz val="9"/>
      <name val=".VnTime"/>
      <family val="2"/>
    </font>
    <font>
      <b/>
      <i/>
      <sz val="8"/>
      <name val="Times New Roman"/>
      <family val="1"/>
    </font>
    <font>
      <i/>
      <sz val="14"/>
      <color theme="1"/>
      <name val="Times New Roman"/>
      <family val="1"/>
    </font>
    <font>
      <sz val="14"/>
      <color rgb="FFFF0000"/>
      <name val="Times New Roman"/>
      <family val="1"/>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bgColor indexed="0"/>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auto="1"/>
      </right>
      <top/>
      <bottom style="thin">
        <color indexed="64"/>
      </bottom>
      <diagonal/>
    </border>
    <border>
      <left style="thin">
        <color indexed="64"/>
      </left>
      <right style="thin">
        <color indexed="64"/>
      </right>
      <top style="hair">
        <color indexed="64"/>
      </top>
      <bottom style="thin">
        <color indexed="64"/>
      </bottom>
      <diagonal/>
    </border>
  </borders>
  <cellStyleXfs count="13">
    <xf numFmtId="0" fontId="0" fillId="0" borderId="0"/>
    <xf numFmtId="165" fontId="3" fillId="0" borderId="0" applyFont="0" applyFill="0" applyBorder="0" applyAlignment="0" applyProtection="0"/>
    <xf numFmtId="0" fontId="15" fillId="0" borderId="0"/>
    <xf numFmtId="43" fontId="16" fillId="0" borderId="0" applyFont="0" applyFill="0" applyBorder="0" applyAlignment="0" applyProtection="0"/>
    <xf numFmtId="0" fontId="17" fillId="0" borderId="0"/>
    <xf numFmtId="0" fontId="3" fillId="0" borderId="0"/>
    <xf numFmtId="0" fontId="15" fillId="0" borderId="0"/>
    <xf numFmtId="9" fontId="3" fillId="0" borderId="0" applyFont="0" applyFill="0" applyBorder="0" applyAlignment="0" applyProtection="0"/>
    <xf numFmtId="0" fontId="22" fillId="0" borderId="0"/>
    <xf numFmtId="0" fontId="22" fillId="0" borderId="0"/>
    <xf numFmtId="0" fontId="15" fillId="0" borderId="0"/>
    <xf numFmtId="43" fontId="16" fillId="0" borderId="0" applyFont="0" applyFill="0" applyBorder="0" applyAlignment="0" applyProtection="0"/>
    <xf numFmtId="165" fontId="16" fillId="0" borderId="0" applyFont="0" applyFill="0" applyBorder="0" applyAlignment="0" applyProtection="0"/>
  </cellStyleXfs>
  <cellXfs count="366">
    <xf numFmtId="0" fontId="0" fillId="0" borderId="0" xfId="0"/>
    <xf numFmtId="0" fontId="1" fillId="0" borderId="0" xfId="0" applyFont="1"/>
    <xf numFmtId="0" fontId="2" fillId="0" borderId="0" xfId="0" applyFont="1"/>
    <xf numFmtId="0" fontId="5" fillId="0" borderId="0" xfId="0" applyFont="1"/>
    <xf numFmtId="0" fontId="11" fillId="0" borderId="0" xfId="0" applyFont="1"/>
    <xf numFmtId="0" fontId="14" fillId="0" borderId="0" xfId="0" applyFont="1"/>
    <xf numFmtId="0" fontId="10" fillId="0" borderId="0" xfId="0" applyFont="1"/>
    <xf numFmtId="0" fontId="10" fillId="0" borderId="0" xfId="0" applyFont="1" applyAlignment="1">
      <alignment horizontal="left" vertical="center"/>
    </xf>
    <xf numFmtId="0" fontId="7" fillId="0" borderId="0" xfId="0" applyFont="1" applyAlignment="1">
      <alignment horizontal="left"/>
    </xf>
    <xf numFmtId="0" fontId="19" fillId="0" borderId="0" xfId="0" applyFont="1"/>
    <xf numFmtId="168" fontId="1" fillId="0" borderId="0" xfId="0" applyNumberFormat="1" applyFont="1"/>
    <xf numFmtId="0" fontId="1" fillId="3" borderId="0" xfId="0" applyFont="1" applyFill="1"/>
    <xf numFmtId="43" fontId="1" fillId="3" borderId="0" xfId="0" applyNumberFormat="1" applyFont="1" applyFill="1"/>
    <xf numFmtId="4" fontId="2" fillId="0" borderId="0" xfId="0" applyNumberFormat="1" applyFont="1"/>
    <xf numFmtId="4" fontId="1" fillId="0" borderId="0" xfId="0" applyNumberFormat="1" applyFont="1"/>
    <xf numFmtId="0" fontId="2" fillId="0" borderId="0" xfId="0" applyFont="1" applyFill="1"/>
    <xf numFmtId="168" fontId="2" fillId="0" borderId="0" xfId="0" applyNumberFormat="1" applyFont="1" applyFill="1"/>
    <xf numFmtId="0" fontId="1" fillId="0" borderId="0" xfId="0" applyFont="1" applyFill="1"/>
    <xf numFmtId="0" fontId="1" fillId="0" borderId="0" xfId="0" applyFont="1" applyAlignment="1">
      <alignment horizontal="center"/>
    </xf>
    <xf numFmtId="0" fontId="1" fillId="0" borderId="0" xfId="0" applyFont="1" applyFill="1" applyAlignment="1">
      <alignment horizontal="center"/>
    </xf>
    <xf numFmtId="4" fontId="1" fillId="0" borderId="0" xfId="0" applyNumberFormat="1" applyFont="1" applyFill="1"/>
    <xf numFmtId="168" fontId="1" fillId="0" borderId="0" xfId="0" applyNumberFormat="1" applyFont="1" applyFill="1"/>
    <xf numFmtId="0" fontId="7"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4" fontId="7" fillId="0" borderId="0" xfId="0" applyNumberFormat="1" applyFont="1"/>
    <xf numFmtId="4" fontId="0" fillId="0" borderId="0" xfId="0" applyNumberFormat="1"/>
    <xf numFmtId="0" fontId="7" fillId="0" borderId="0" xfId="0" applyFont="1" applyBorder="1"/>
    <xf numFmtId="164" fontId="34" fillId="0" borderId="0" xfId="0" applyNumberFormat="1" applyFont="1" applyBorder="1" applyAlignment="1">
      <alignment vertical="center"/>
    </xf>
    <xf numFmtId="43" fontId="7" fillId="0" borderId="0" xfId="0" applyNumberFormat="1" applyFont="1" applyBorder="1"/>
    <xf numFmtId="0" fontId="11" fillId="0" borderId="0" xfId="0" applyFont="1" applyBorder="1"/>
    <xf numFmtId="164" fontId="7" fillId="0" borderId="0" xfId="0" applyNumberFormat="1" applyFont="1" applyBorder="1" applyAlignment="1">
      <alignment vertical="center"/>
    </xf>
    <xf numFmtId="43" fontId="12" fillId="0" borderId="0" xfId="0" applyNumberFormat="1" applyFont="1" applyBorder="1" applyAlignment="1">
      <alignment vertical="center"/>
    </xf>
    <xf numFmtId="164" fontId="12" fillId="0" borderId="0" xfId="0" applyNumberFormat="1" applyFont="1" applyBorder="1" applyAlignment="1">
      <alignment vertical="center"/>
    </xf>
    <xf numFmtId="43" fontId="33" fillId="0" borderId="0" xfId="1" applyNumberFormat="1" applyFont="1" applyBorder="1" applyAlignment="1">
      <alignment vertical="center"/>
    </xf>
    <xf numFmtId="43" fontId="9" fillId="0" borderId="0" xfId="1" applyNumberFormat="1" applyFont="1" applyBorder="1" applyAlignment="1">
      <alignment vertical="center"/>
    </xf>
    <xf numFmtId="0" fontId="13" fillId="0" borderId="0" xfId="0" applyFont="1" applyBorder="1" applyAlignment="1">
      <alignment vertical="center"/>
    </xf>
    <xf numFmtId="166" fontId="32" fillId="0" borderId="0" xfId="0" applyNumberFormat="1" applyFont="1" applyBorder="1" applyAlignment="1">
      <alignment horizontal="center" vertical="center"/>
    </xf>
    <xf numFmtId="166" fontId="7" fillId="0" borderId="0" xfId="0" applyNumberFormat="1" applyFont="1"/>
    <xf numFmtId="3" fontId="7" fillId="0" borderId="0" xfId="0" applyNumberFormat="1" applyFont="1"/>
    <xf numFmtId="3" fontId="13" fillId="0" borderId="0" xfId="0" applyNumberFormat="1" applyFont="1" applyAlignment="1">
      <alignment vertical="center"/>
    </xf>
    <xf numFmtId="0" fontId="8" fillId="2" borderId="9" xfId="0" applyFont="1" applyFill="1" applyBorder="1" applyAlignment="1">
      <alignment horizontal="center"/>
    </xf>
    <xf numFmtId="0" fontId="8" fillId="2" borderId="9" xfId="0" applyFont="1" applyFill="1" applyBorder="1" applyAlignment="1">
      <alignment horizontal="left" vertical="center" wrapText="1"/>
    </xf>
    <xf numFmtId="4" fontId="8" fillId="2" borderId="9" xfId="1" applyNumberFormat="1" applyFont="1" applyFill="1" applyBorder="1" applyAlignment="1">
      <alignment vertical="center"/>
    </xf>
    <xf numFmtId="0" fontId="6" fillId="2" borderId="10" xfId="0" applyFont="1" applyFill="1" applyBorder="1" applyAlignment="1">
      <alignment vertical="center"/>
    </xf>
    <xf numFmtId="4" fontId="6" fillId="2" borderId="10" xfId="0" applyNumberFormat="1" applyFont="1" applyFill="1" applyBorder="1" applyAlignment="1">
      <alignment vertical="center"/>
    </xf>
    <xf numFmtId="0" fontId="6" fillId="2" borderId="8" xfId="0" applyFont="1" applyFill="1" applyBorder="1" applyAlignment="1">
      <alignment horizontal="center" vertical="center"/>
    </xf>
    <xf numFmtId="0" fontId="6" fillId="2" borderId="8" xfId="0" applyFont="1" applyFill="1" applyBorder="1" applyAlignment="1">
      <alignment horizontal="left" vertical="center" wrapText="1"/>
    </xf>
    <xf numFmtId="4" fontId="6" fillId="2" borderId="8" xfId="1" applyNumberFormat="1" applyFont="1" applyFill="1" applyBorder="1" applyAlignment="1">
      <alignment vertical="center"/>
    </xf>
    <xf numFmtId="4" fontId="6" fillId="2" borderId="8" xfId="0" applyNumberFormat="1" applyFont="1" applyFill="1" applyBorder="1" applyAlignment="1">
      <alignment vertical="center"/>
    </xf>
    <xf numFmtId="0" fontId="8" fillId="2" borderId="8" xfId="0" applyFont="1" applyFill="1" applyBorder="1" applyAlignment="1">
      <alignment horizontal="center" vertical="center"/>
    </xf>
    <xf numFmtId="0" fontId="8" fillId="2" borderId="8" xfId="0" applyFont="1" applyFill="1" applyBorder="1" applyAlignment="1">
      <alignment horizontal="left" vertical="center" wrapText="1"/>
    </xf>
    <xf numFmtId="4" fontId="8" fillId="2" borderId="8" xfId="1" applyNumberFormat="1" applyFont="1" applyFill="1" applyBorder="1" applyAlignment="1">
      <alignment vertical="center"/>
    </xf>
    <xf numFmtId="4" fontId="6" fillId="2" borderId="8" xfId="1" quotePrefix="1" applyNumberFormat="1" applyFont="1" applyFill="1" applyBorder="1" applyAlignment="1">
      <alignment horizontal="right" vertical="center" wrapText="1"/>
    </xf>
    <xf numFmtId="4" fontId="8" fillId="2" borderId="8" xfId="0" applyNumberFormat="1" applyFont="1" applyFill="1" applyBorder="1" applyAlignment="1">
      <alignment vertical="center"/>
    </xf>
    <xf numFmtId="0" fontId="6" fillId="2" borderId="8" xfId="0" applyFont="1" applyFill="1" applyBorder="1" applyAlignment="1">
      <alignment horizontal="center"/>
    </xf>
    <xf numFmtId="0" fontId="6" fillId="2" borderId="8" xfId="0" applyFont="1" applyFill="1" applyBorder="1" applyAlignment="1">
      <alignment horizontal="left" wrapText="1"/>
    </xf>
    <xf numFmtId="3" fontId="6" fillId="2" borderId="8" xfId="0" applyNumberFormat="1" applyFont="1" applyFill="1" applyBorder="1" applyAlignment="1">
      <alignment vertical="center"/>
    </xf>
    <xf numFmtId="3" fontId="8" fillId="4" borderId="8" xfId="0" applyNumberFormat="1" applyFont="1" applyFill="1" applyBorder="1" applyAlignment="1" applyProtection="1">
      <alignment horizontal="left" vertical="center" wrapText="1" shrinkToFit="1"/>
      <protection locked="0"/>
    </xf>
    <xf numFmtId="0" fontId="6" fillId="2" borderId="8" xfId="0" applyFont="1" applyFill="1" applyBorder="1" applyAlignment="1">
      <alignment vertical="center" wrapText="1"/>
    </xf>
    <xf numFmtId="0" fontId="6" fillId="2" borderId="8" xfId="0" applyFont="1" applyFill="1" applyBorder="1" applyAlignment="1">
      <alignment vertical="center"/>
    </xf>
    <xf numFmtId="0" fontId="8" fillId="2" borderId="8" xfId="0" applyFont="1" applyFill="1" applyBorder="1" applyAlignment="1">
      <alignment vertical="center"/>
    </xf>
    <xf numFmtId="0" fontId="5" fillId="0" borderId="0" xfId="0" applyFont="1" applyAlignment="1">
      <alignment horizontal="left"/>
    </xf>
    <xf numFmtId="4" fontId="5" fillId="0" borderId="0" xfId="0" applyNumberFormat="1" applyFont="1"/>
    <xf numFmtId="0" fontId="5" fillId="0" borderId="0" xfId="0" applyFont="1" applyAlignment="1">
      <alignment horizontal="center"/>
    </xf>
    <xf numFmtId="168" fontId="5" fillId="0" borderId="0" xfId="0" applyNumberFormat="1" applyFont="1"/>
    <xf numFmtId="0" fontId="5" fillId="0" borderId="0" xfId="0" applyFont="1" applyFill="1" applyAlignment="1">
      <alignment horizontal="left"/>
    </xf>
    <xf numFmtId="0" fontId="5" fillId="0" borderId="0" xfId="0" applyFont="1" applyFill="1"/>
    <xf numFmtId="167" fontId="8" fillId="2" borderId="8" xfId="1" applyNumberFormat="1" applyFont="1" applyFill="1" applyBorder="1" applyAlignment="1">
      <alignment vertical="center"/>
    </xf>
    <xf numFmtId="167" fontId="6" fillId="2" borderId="8" xfId="1" quotePrefix="1" applyNumberFormat="1" applyFont="1" applyFill="1" applyBorder="1" applyAlignment="1">
      <alignment horizontal="right" vertical="center" wrapText="1"/>
    </xf>
    <xf numFmtId="169" fontId="7" fillId="0" borderId="0" xfId="1" applyNumberFormat="1" applyFont="1"/>
    <xf numFmtId="169" fontId="7" fillId="0" borderId="0" xfId="1" applyNumberFormat="1" applyFont="1" applyBorder="1"/>
    <xf numFmtId="169" fontId="11" fillId="0" borderId="0" xfId="1" applyNumberFormat="1" applyFont="1" applyBorder="1"/>
    <xf numFmtId="169" fontId="7" fillId="0" borderId="0" xfId="1" applyNumberFormat="1" applyFont="1" applyBorder="1" applyAlignment="1">
      <alignment vertical="center"/>
    </xf>
    <xf numFmtId="169" fontId="12" fillId="0" borderId="0" xfId="1" applyNumberFormat="1" applyFont="1" applyBorder="1" applyAlignment="1">
      <alignment vertical="center"/>
    </xf>
    <xf numFmtId="169" fontId="13" fillId="0" borderId="0" xfId="1" applyNumberFormat="1" applyFont="1" applyBorder="1" applyAlignment="1">
      <alignment vertical="center"/>
    </xf>
    <xf numFmtId="169" fontId="34" fillId="0" borderId="0" xfId="1" applyNumberFormat="1" applyFont="1" applyBorder="1" applyAlignment="1">
      <alignment vertical="center"/>
    </xf>
    <xf numFmtId="169" fontId="10" fillId="0" borderId="0" xfId="1" applyNumberFormat="1" applyFont="1"/>
    <xf numFmtId="169" fontId="0" fillId="0" borderId="0" xfId="1" applyNumberFormat="1" applyFont="1"/>
    <xf numFmtId="0" fontId="6" fillId="0" borderId="8" xfId="0" applyFont="1" applyFill="1" applyBorder="1" applyAlignment="1">
      <alignment horizontal="center" vertical="center" wrapText="1"/>
    </xf>
    <xf numFmtId="0" fontId="6" fillId="0" borderId="8" xfId="0" applyFont="1" applyFill="1" applyBorder="1" applyAlignment="1">
      <alignment horizontal="left" vertical="center" wrapText="1"/>
    </xf>
    <xf numFmtId="4" fontId="6" fillId="0" borderId="8" xfId="0" applyNumberFormat="1" applyFont="1" applyFill="1" applyBorder="1" applyAlignment="1">
      <alignment vertical="center"/>
    </xf>
    <xf numFmtId="0" fontId="6" fillId="0" borderId="8" xfId="0" applyFont="1" applyFill="1" applyBorder="1" applyAlignment="1">
      <alignment horizontal="center"/>
    </xf>
    <xf numFmtId="4" fontId="6" fillId="0" borderId="8" xfId="1" applyNumberFormat="1" applyFont="1" applyFill="1" applyBorder="1" applyAlignment="1">
      <alignment vertical="center"/>
    </xf>
    <xf numFmtId="0" fontId="19" fillId="0" borderId="8" xfId="0" applyFont="1" applyFill="1" applyBorder="1" applyAlignment="1">
      <alignment horizontal="left" vertical="center" wrapText="1"/>
    </xf>
    <xf numFmtId="0" fontId="8" fillId="0" borderId="8" xfId="0" applyFont="1" applyFill="1" applyBorder="1" applyAlignment="1">
      <alignment horizontal="center" vertical="center"/>
    </xf>
    <xf numFmtId="0" fontId="8" fillId="0" borderId="8" xfId="0" applyFont="1" applyFill="1" applyBorder="1" applyAlignment="1">
      <alignment horizontal="left" vertical="center" wrapText="1"/>
    </xf>
    <xf numFmtId="0" fontId="6" fillId="0" borderId="8" xfId="0" applyFont="1" applyFill="1" applyBorder="1" applyAlignment="1">
      <alignment horizontal="left" wrapText="1"/>
    </xf>
    <xf numFmtId="0" fontId="1" fillId="0" borderId="6" xfId="0" applyFont="1" applyBorder="1" applyAlignment="1">
      <alignment vertical="center" wrapText="1"/>
    </xf>
    <xf numFmtId="0" fontId="1" fillId="0" borderId="0" xfId="0" applyFont="1" applyBorder="1" applyAlignment="1">
      <alignment vertical="center" wrapText="1"/>
    </xf>
    <xf numFmtId="3" fontId="6" fillId="2" borderId="8" xfId="1" quotePrefix="1" applyNumberFormat="1" applyFont="1" applyFill="1" applyBorder="1" applyAlignment="1">
      <alignment horizontal="right" vertical="center" wrapText="1"/>
    </xf>
    <xf numFmtId="170" fontId="1" fillId="0" borderId="0" xfId="0" applyNumberFormat="1" applyFont="1"/>
    <xf numFmtId="167" fontId="1" fillId="0" borderId="6" xfId="0" applyNumberFormat="1" applyFont="1" applyBorder="1" applyAlignment="1">
      <alignment vertical="center" wrapText="1"/>
    </xf>
    <xf numFmtId="170" fontId="1" fillId="0" borderId="0" xfId="0" applyNumberFormat="1" applyFont="1" applyBorder="1" applyAlignment="1">
      <alignment vertical="center" wrapText="1"/>
    </xf>
    <xf numFmtId="4" fontId="5" fillId="0" borderId="0" xfId="0" applyNumberFormat="1" applyFont="1" applyFill="1"/>
    <xf numFmtId="0" fontId="19" fillId="0" borderId="0" xfId="0" applyNumberFormat="1" applyFont="1" applyFill="1" applyAlignment="1">
      <alignment horizontal="center"/>
    </xf>
    <xf numFmtId="0" fontId="12" fillId="2" borderId="1" xfId="0" applyFont="1" applyFill="1" applyBorder="1" applyAlignment="1">
      <alignment horizontal="center" vertical="center"/>
    </xf>
    <xf numFmtId="0" fontId="0" fillId="0" borderId="0" xfId="0"/>
    <xf numFmtId="0" fontId="7" fillId="0" borderId="0" xfId="0" applyFont="1"/>
    <xf numFmtId="0" fontId="6" fillId="0" borderId="0" xfId="0" applyFont="1" applyAlignment="1">
      <alignment horizontal="left"/>
    </xf>
    <xf numFmtId="0" fontId="8" fillId="0" borderId="0" xfId="0" applyFont="1" applyAlignment="1">
      <alignment vertical="center" wrapText="1"/>
    </xf>
    <xf numFmtId="171" fontId="0" fillId="0" borderId="0" xfId="0" applyNumberFormat="1" applyAlignment="1">
      <alignment vertical="center"/>
    </xf>
    <xf numFmtId="0" fontId="35" fillId="0" borderId="0" xfId="0" applyNumberFormat="1" applyFont="1" applyFill="1" applyAlignment="1">
      <alignment horizontal="center"/>
    </xf>
    <xf numFmtId="0" fontId="8" fillId="0" borderId="0" xfId="0" applyFont="1" applyAlignment="1"/>
    <xf numFmtId="0" fontId="8" fillId="0" borderId="0" xfId="0" applyFont="1" applyAlignment="1">
      <alignment vertical="center"/>
    </xf>
    <xf numFmtId="0" fontId="8" fillId="0" borderId="0" xfId="0" applyFont="1" applyAlignment="1">
      <alignment horizontal="left" vertical="center" wrapText="1"/>
    </xf>
    <xf numFmtId="0" fontId="0" fillId="0" borderId="0" xfId="0" applyAlignment="1">
      <alignment vertical="center"/>
    </xf>
    <xf numFmtId="0" fontId="6" fillId="0" borderId="0" xfId="0" applyFont="1" applyFill="1" applyBorder="1" applyAlignment="1">
      <alignment horizontal="center" vertical="center"/>
    </xf>
    <xf numFmtId="0" fontId="36" fillId="0" borderId="0" xfId="0" applyFont="1" applyFill="1" applyBorder="1" applyAlignment="1">
      <alignment horizontal="center" vertical="center"/>
    </xf>
    <xf numFmtId="171" fontId="6" fillId="0" borderId="0" xfId="0" applyNumberFormat="1" applyFont="1" applyFill="1" applyBorder="1" applyAlignment="1">
      <alignment vertical="center"/>
    </xf>
    <xf numFmtId="172" fontId="36" fillId="0" borderId="0" xfId="1" applyNumberFormat="1" applyFont="1" applyFill="1" applyBorder="1" applyAlignment="1">
      <alignment vertical="center"/>
    </xf>
    <xf numFmtId="0" fontId="7" fillId="0" borderId="1" xfId="0" applyFont="1" applyFill="1" applyBorder="1" applyAlignment="1">
      <alignment horizontal="center" vertical="center"/>
    </xf>
    <xf numFmtId="3" fontId="7" fillId="0" borderId="1" xfId="0" applyNumberFormat="1" applyFont="1" applyFill="1" applyBorder="1" applyAlignment="1">
      <alignment horizontal="center" vertical="center" wrapText="1"/>
    </xf>
    <xf numFmtId="0" fontId="38" fillId="0" borderId="0" xfId="0" applyFont="1"/>
    <xf numFmtId="0" fontId="38" fillId="0" borderId="0" xfId="0" applyFont="1" applyFill="1"/>
    <xf numFmtId="0" fontId="38" fillId="0" borderId="0" xfId="0" applyFont="1" applyFill="1" applyAlignment="1">
      <alignment horizontal="center"/>
    </xf>
    <xf numFmtId="0" fontId="8" fillId="0" borderId="1" xfId="0" applyFont="1" applyFill="1" applyBorder="1" applyAlignment="1">
      <alignment horizontal="center" vertical="center"/>
    </xf>
    <xf numFmtId="0" fontId="12" fillId="0" borderId="1" xfId="0" applyFont="1" applyBorder="1" applyAlignment="1">
      <alignment horizontal="center" vertical="center"/>
    </xf>
    <xf numFmtId="41" fontId="12" fillId="0" borderId="1" xfId="0" applyNumberFormat="1" applyFont="1" applyFill="1" applyBorder="1" applyAlignment="1">
      <alignment vertical="center"/>
    </xf>
    <xf numFmtId="0" fontId="13" fillId="0" borderId="1" xfId="10" quotePrefix="1" applyFont="1" applyFill="1" applyBorder="1" applyAlignment="1">
      <alignment horizontal="right" vertical="center" wrapText="1"/>
    </xf>
    <xf numFmtId="173" fontId="13" fillId="2" borderId="1" xfId="0" applyNumberFormat="1" applyFont="1" applyFill="1" applyBorder="1" applyAlignment="1">
      <alignment vertical="center"/>
    </xf>
    <xf numFmtId="9" fontId="13" fillId="2" borderId="1" xfId="7" applyFont="1" applyFill="1" applyBorder="1" applyAlignment="1">
      <alignment horizontal="center" vertical="center"/>
    </xf>
    <xf numFmtId="41" fontId="13" fillId="0" borderId="1" xfId="0" applyNumberFormat="1" applyFont="1" applyBorder="1" applyAlignment="1">
      <alignment vertical="center"/>
    </xf>
    <xf numFmtId="174" fontId="13" fillId="0" borderId="1" xfId="0" applyNumberFormat="1" applyFont="1" applyBorder="1" applyAlignment="1">
      <alignment vertical="center"/>
    </xf>
    <xf numFmtId="173" fontId="12" fillId="0" borderId="1" xfId="0" applyNumberFormat="1" applyFont="1" applyFill="1" applyBorder="1" applyAlignment="1">
      <alignment vertical="center"/>
    </xf>
    <xf numFmtId="0" fontId="13" fillId="0" borderId="1" xfId="10" quotePrefix="1" applyFont="1" applyFill="1" applyBorder="1" applyAlignment="1">
      <alignment vertical="center" wrapText="1"/>
    </xf>
    <xf numFmtId="41" fontId="13" fillId="0" borderId="1" xfId="0" applyNumberFormat="1" applyFont="1" applyBorder="1" applyAlignment="1">
      <alignment horizontal="right" vertical="center"/>
    </xf>
    <xf numFmtId="9" fontId="12" fillId="0" borderId="1" xfId="7" applyFont="1" applyFill="1" applyBorder="1" applyAlignment="1">
      <alignment horizontal="center" vertical="center"/>
    </xf>
    <xf numFmtId="0" fontId="31" fillId="0" borderId="0" xfId="0" applyFont="1"/>
    <xf numFmtId="0" fontId="35" fillId="0" borderId="0" xfId="0" applyFont="1" applyAlignment="1">
      <alignment vertical="center"/>
    </xf>
    <xf numFmtId="0" fontId="37" fillId="2" borderId="1" xfId="0" applyFont="1" applyFill="1" applyBorder="1" applyAlignment="1">
      <alignment horizontal="center" vertical="center"/>
    </xf>
    <xf numFmtId="0" fontId="37" fillId="0" borderId="1" xfId="0" applyFont="1" applyBorder="1" applyAlignment="1">
      <alignment horizontal="center" vertical="center"/>
    </xf>
    <xf numFmtId="173" fontId="11" fillId="2" borderId="1" xfId="0" applyNumberFormat="1" applyFont="1" applyFill="1" applyBorder="1" applyAlignment="1">
      <alignment vertical="center"/>
    </xf>
    <xf numFmtId="41" fontId="11" fillId="0" borderId="1" xfId="0" applyNumberFormat="1" applyFont="1" applyBorder="1" applyAlignment="1">
      <alignment vertical="center"/>
    </xf>
    <xf numFmtId="14" fontId="11" fillId="0" borderId="1" xfId="0" applyNumberFormat="1" applyFont="1" applyBorder="1" applyAlignment="1">
      <alignment horizontal="center" vertical="center"/>
    </xf>
    <xf numFmtId="14" fontId="43" fillId="2" borderId="1" xfId="0" applyNumberFormat="1" applyFont="1" applyFill="1" applyBorder="1" applyAlignment="1">
      <alignment horizontal="center" vertical="center"/>
    </xf>
    <xf numFmtId="0" fontId="18" fillId="0" borderId="1" xfId="0" applyFont="1" applyBorder="1" applyAlignment="1">
      <alignment vertical="center"/>
    </xf>
    <xf numFmtId="0" fontId="26" fillId="0" borderId="1" xfId="0" applyFont="1" applyBorder="1" applyAlignment="1">
      <alignment horizontal="center" vertical="center"/>
    </xf>
    <xf numFmtId="3" fontId="26" fillId="0" borderId="1" xfId="0" applyNumberFormat="1" applyFont="1" applyBorder="1" applyAlignment="1">
      <alignment horizontal="right" vertical="center"/>
    </xf>
    <xf numFmtId="4" fontId="26" fillId="0" borderId="1" xfId="0" applyNumberFormat="1" applyFont="1" applyBorder="1" applyAlignment="1">
      <alignment horizontal="right" vertical="center"/>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3" fontId="9" fillId="0" borderId="1" xfId="0" applyNumberFormat="1" applyFont="1" applyBorder="1" applyAlignment="1">
      <alignment horizontal="right" vertical="center"/>
    </xf>
    <xf numFmtId="43" fontId="9" fillId="0" borderId="1" xfId="1" applyNumberFormat="1" applyFont="1" applyBorder="1" applyAlignment="1">
      <alignment horizontal="right" vertical="center"/>
    </xf>
    <xf numFmtId="0" fontId="27" fillId="2" borderId="1" xfId="8" applyFont="1" applyFill="1" applyBorder="1" applyAlignment="1">
      <alignment horizontal="center" vertical="center"/>
    </xf>
    <xf numFmtId="0" fontId="27" fillId="2" borderId="1" xfId="9" applyNumberFormat="1" applyFont="1" applyFill="1" applyBorder="1" applyAlignment="1">
      <alignment vertical="center"/>
    </xf>
    <xf numFmtId="3" fontId="18" fillId="0" borderId="1" xfId="0" applyNumberFormat="1" applyFont="1" applyBorder="1" applyAlignment="1">
      <alignment vertical="center"/>
    </xf>
    <xf numFmtId="4" fontId="26" fillId="0" borderId="1" xfId="0" applyNumberFormat="1" applyFont="1" applyBorder="1" applyAlignment="1">
      <alignment vertical="center"/>
    </xf>
    <xf numFmtId="4" fontId="7" fillId="0" borderId="1" xfId="0" applyNumberFormat="1" applyFont="1" applyBorder="1"/>
    <xf numFmtId="4" fontId="9" fillId="0" borderId="1" xfId="1" applyNumberFormat="1" applyFont="1" applyBorder="1" applyAlignment="1">
      <alignment horizontal="right" vertical="center"/>
    </xf>
    <xf numFmtId="4" fontId="11" fillId="0" borderId="1" xfId="0" applyNumberFormat="1" applyFont="1" applyBorder="1"/>
    <xf numFmtId="4" fontId="9" fillId="0" borderId="1" xfId="1" applyNumberFormat="1" applyFont="1" applyBorder="1" applyAlignment="1">
      <alignment vertical="center"/>
    </xf>
    <xf numFmtId="0" fontId="10" fillId="0" borderId="1" xfId="0" applyFont="1" applyBorder="1" applyAlignment="1">
      <alignment horizontal="center" vertical="center" wrapText="1"/>
    </xf>
    <xf numFmtId="0" fontId="8" fillId="0" borderId="0" xfId="0" applyFont="1" applyAlignment="1">
      <alignment horizontal="center"/>
    </xf>
    <xf numFmtId="171" fontId="9"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3" fontId="37" fillId="0" borderId="1" xfId="0" applyNumberFormat="1" applyFont="1" applyFill="1" applyBorder="1" applyAlignment="1">
      <alignment horizontal="center" vertical="center" wrapText="1"/>
    </xf>
    <xf numFmtId="4" fontId="37" fillId="0" borderId="1" xfId="0" applyNumberFormat="1" applyFont="1" applyFill="1" applyBorder="1" applyAlignment="1">
      <alignment vertical="center" wrapText="1"/>
    </xf>
    <xf numFmtId="3" fontId="37" fillId="0" borderId="1" xfId="0" applyNumberFormat="1" applyFont="1" applyFill="1" applyBorder="1" applyAlignment="1">
      <alignment vertical="center" wrapText="1"/>
    </xf>
    <xf numFmtId="4" fontId="11" fillId="0" borderId="1" xfId="0" applyNumberFormat="1" applyFont="1" applyFill="1" applyBorder="1" applyAlignment="1">
      <alignment vertical="center" wrapText="1"/>
    </xf>
    <xf numFmtId="3" fontId="11" fillId="0" borderId="1" xfId="0" applyNumberFormat="1" applyFont="1" applyFill="1" applyBorder="1" applyAlignment="1">
      <alignment vertical="center" wrapText="1"/>
    </xf>
    <xf numFmtId="9" fontId="11" fillId="2" borderId="1" xfId="7" applyFont="1" applyFill="1" applyBorder="1" applyAlignment="1">
      <alignment vertical="center"/>
    </xf>
    <xf numFmtId="4" fontId="12" fillId="0" borderId="1" xfId="0" applyNumberFormat="1" applyFont="1" applyFill="1" applyBorder="1" applyAlignment="1">
      <alignment vertical="center" wrapText="1"/>
    </xf>
    <xf numFmtId="3" fontId="12" fillId="0" borderId="1" xfId="0" applyNumberFormat="1" applyFont="1" applyFill="1" applyBorder="1" applyAlignment="1">
      <alignment vertical="center" wrapText="1"/>
    </xf>
    <xf numFmtId="4" fontId="12" fillId="0" borderId="1" xfId="0" applyNumberFormat="1" applyFont="1" applyFill="1" applyBorder="1" applyAlignment="1">
      <alignment horizontal="center" vertical="center" wrapText="1"/>
    </xf>
    <xf numFmtId="0" fontId="45" fillId="2" borderId="8" xfId="0" applyFont="1" applyFill="1" applyBorder="1" applyAlignment="1">
      <alignment horizontal="center" vertical="center"/>
    </xf>
    <xf numFmtId="0" fontId="45" fillId="2" borderId="8" xfId="0" applyFont="1" applyFill="1" applyBorder="1" applyAlignment="1">
      <alignment horizontal="left" vertical="center" wrapText="1"/>
    </xf>
    <xf numFmtId="167" fontId="2" fillId="2" borderId="8" xfId="1" quotePrefix="1" applyNumberFormat="1" applyFont="1" applyFill="1" applyBorder="1" applyAlignment="1">
      <alignment horizontal="right" vertical="center" wrapText="1"/>
    </xf>
    <xf numFmtId="0" fontId="1" fillId="2" borderId="8" xfId="0" applyFont="1" applyFill="1" applyBorder="1" applyAlignment="1">
      <alignment horizontal="center" vertical="center"/>
    </xf>
    <xf numFmtId="0" fontId="1" fillId="2" borderId="8" xfId="0" applyFont="1" applyFill="1" applyBorder="1" applyAlignment="1">
      <alignment horizontal="left" vertical="center" wrapText="1"/>
    </xf>
    <xf numFmtId="0" fontId="42" fillId="2" borderId="8" xfId="0" applyFont="1" applyFill="1" applyBorder="1" applyAlignment="1">
      <alignment wrapText="1"/>
    </xf>
    <xf numFmtId="2" fontId="27" fillId="2" borderId="1" xfId="9" applyNumberFormat="1" applyFont="1" applyFill="1" applyBorder="1" applyAlignment="1">
      <alignment horizontal="right" vertical="center"/>
    </xf>
    <xf numFmtId="0" fontId="39" fillId="0" borderId="0" xfId="0" applyFont="1" applyFill="1" applyAlignment="1">
      <alignment horizontal="center"/>
    </xf>
    <xf numFmtId="0" fontId="39" fillId="0" borderId="0" xfId="0" applyFont="1"/>
    <xf numFmtId="0" fontId="39" fillId="0" borderId="0" xfId="0" applyFont="1" applyFill="1" applyAlignment="1">
      <alignment horizontal="center"/>
    </xf>
    <xf numFmtId="0" fontId="39" fillId="0" borderId="0" xfId="0" applyFont="1" applyAlignment="1">
      <alignment horizontal="center" vertical="center"/>
    </xf>
    <xf numFmtId="0" fontId="14" fillId="0" borderId="0" xfId="0" applyFont="1" applyAlignment="1"/>
    <xf numFmtId="4" fontId="1" fillId="0" borderId="6" xfId="0" applyNumberFormat="1" applyFont="1" applyBorder="1" applyAlignment="1">
      <alignment vertical="center" wrapText="1"/>
    </xf>
    <xf numFmtId="167" fontId="1" fillId="0" borderId="0" xfId="0" applyNumberFormat="1" applyFont="1" applyFill="1"/>
    <xf numFmtId="173" fontId="13" fillId="0" borderId="1" xfId="0" applyNumberFormat="1" applyFont="1" applyFill="1" applyBorder="1" applyAlignment="1">
      <alignment vertical="center"/>
    </xf>
    <xf numFmtId="9" fontId="13" fillId="0" borderId="1" xfId="7" applyFont="1" applyFill="1" applyBorder="1" applyAlignment="1">
      <alignment horizontal="center" vertical="center"/>
    </xf>
    <xf numFmtId="9" fontId="23" fillId="2" borderId="1" xfId="0" applyNumberFormat="1" applyFont="1" applyFill="1" applyBorder="1" applyAlignment="1">
      <alignment horizontal="center" vertical="center" wrapText="1"/>
    </xf>
    <xf numFmtId="4" fontId="1" fillId="0" borderId="0" xfId="0" applyNumberFormat="1" applyFont="1" applyBorder="1" applyAlignment="1">
      <alignment vertical="center" wrapText="1"/>
    </xf>
    <xf numFmtId="167" fontId="6" fillId="2" borderId="8" xfId="0" applyNumberFormat="1" applyFont="1" applyFill="1" applyBorder="1" applyAlignment="1">
      <alignment vertical="center"/>
    </xf>
    <xf numFmtId="0" fontId="10" fillId="0" borderId="1" xfId="0" applyFont="1" applyBorder="1" applyAlignment="1">
      <alignment horizontal="center" vertical="center" wrapText="1"/>
    </xf>
    <xf numFmtId="0" fontId="8" fillId="0" borderId="0" xfId="0" applyFont="1" applyAlignment="1">
      <alignment horizontal="center"/>
    </xf>
    <xf numFmtId="169" fontId="10" fillId="0" borderId="0" xfId="1" applyNumberFormat="1" applyFont="1" applyBorder="1" applyAlignment="1">
      <alignment vertical="center"/>
    </xf>
    <xf numFmtId="0" fontId="10" fillId="0" borderId="0" xfId="0" applyFont="1" applyBorder="1" applyAlignment="1">
      <alignment horizontal="center" vertical="center" wrapText="1"/>
    </xf>
    <xf numFmtId="3" fontId="26" fillId="0" borderId="0" xfId="0" applyNumberFormat="1" applyFont="1" applyBorder="1" applyAlignment="1">
      <alignment horizontal="right" vertical="center"/>
    </xf>
    <xf numFmtId="43" fontId="9" fillId="0" borderId="0" xfId="1" applyNumberFormat="1" applyFont="1" applyBorder="1" applyAlignment="1">
      <alignment horizontal="right" vertical="center"/>
    </xf>
    <xf numFmtId="2" fontId="28" fillId="2" borderId="4" xfId="9" applyNumberFormat="1" applyFont="1" applyFill="1" applyBorder="1" applyAlignment="1">
      <alignment horizontal="right" vertical="center"/>
    </xf>
    <xf numFmtId="2" fontId="27" fillId="2" borderId="4" xfId="9" applyNumberFormat="1" applyFont="1" applyFill="1" applyBorder="1" applyAlignment="1">
      <alignment horizontal="right" vertical="center"/>
    </xf>
    <xf numFmtId="0" fontId="10" fillId="0" borderId="6" xfId="0" applyFont="1" applyBorder="1" applyAlignment="1">
      <alignment horizontal="center" vertical="center" wrapText="1"/>
    </xf>
    <xf numFmtId="3" fontId="26" fillId="0" borderId="6" xfId="0" applyNumberFormat="1" applyFont="1" applyBorder="1" applyAlignment="1">
      <alignment horizontal="right" vertical="center"/>
    </xf>
    <xf numFmtId="43" fontId="9" fillId="0" borderId="6" xfId="1" applyNumberFormat="1" applyFont="1" applyBorder="1" applyAlignment="1">
      <alignment horizontal="right" vertical="center"/>
    </xf>
    <xf numFmtId="43" fontId="18" fillId="0" borderId="3" xfId="0" applyNumberFormat="1" applyFont="1" applyBorder="1" applyAlignment="1">
      <alignment vertical="center"/>
    </xf>
    <xf numFmtId="43" fontId="18" fillId="0" borderId="5" xfId="0" applyNumberFormat="1" applyFont="1" applyBorder="1" applyAlignment="1">
      <alignment vertical="center"/>
    </xf>
    <xf numFmtId="0" fontId="46" fillId="2" borderId="0" xfId="0" applyFont="1" applyFill="1"/>
    <xf numFmtId="0" fontId="14" fillId="2" borderId="0" xfId="0" applyFont="1" applyFill="1" applyAlignment="1">
      <alignment horizontal="left"/>
    </xf>
    <xf numFmtId="0" fontId="14" fillId="2" borderId="0" xfId="0" applyFont="1" applyFill="1" applyAlignment="1">
      <alignment horizontal="center"/>
    </xf>
    <xf numFmtId="0" fontId="18" fillId="2" borderId="10" xfId="0" applyFont="1" applyFill="1" applyBorder="1" applyAlignment="1">
      <alignment horizontal="center" vertical="center" wrapText="1"/>
    </xf>
    <xf numFmtId="0" fontId="12" fillId="2" borderId="1" xfId="0" applyFont="1" applyFill="1" applyBorder="1" applyAlignment="1">
      <alignment horizontal="center" vertical="center" wrapText="1"/>
    </xf>
    <xf numFmtId="172" fontId="12" fillId="2" borderId="1" xfId="11" applyNumberFormat="1" applyFont="1" applyFill="1" applyBorder="1" applyAlignment="1">
      <alignment vertical="center" wrapText="1"/>
    </xf>
    <xf numFmtId="3" fontId="7" fillId="2" borderId="1" xfId="1"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172" fontId="7" fillId="2" borderId="1" xfId="12" applyNumberFormat="1" applyFont="1" applyFill="1" applyBorder="1" applyAlignment="1">
      <alignment vertical="center" wrapText="1"/>
    </xf>
    <xf numFmtId="172" fontId="13" fillId="2" borderId="1" xfId="11" applyNumberFormat="1" applyFont="1" applyFill="1" applyBorder="1" applyAlignment="1">
      <alignment vertical="center" wrapText="1"/>
    </xf>
    <xf numFmtId="3" fontId="13" fillId="2" borderId="1" xfId="1" applyNumberFormat="1" applyFont="1" applyFill="1" applyBorder="1" applyAlignment="1">
      <alignment horizontal="right" vertical="center" wrapText="1"/>
    </xf>
    <xf numFmtId="4" fontId="13" fillId="2" borderId="1" xfId="1" applyNumberFormat="1" applyFont="1" applyFill="1" applyBorder="1" applyAlignment="1">
      <alignment horizontal="right" vertical="center" wrapText="1"/>
    </xf>
    <xf numFmtId="0" fontId="7" fillId="2" borderId="1" xfId="0" applyFont="1" applyFill="1" applyBorder="1" applyAlignment="1">
      <alignment horizontal="center" vertical="center" wrapText="1"/>
    </xf>
    <xf numFmtId="172" fontId="7" fillId="2" borderId="1" xfId="1" applyNumberFormat="1" applyFont="1" applyFill="1" applyBorder="1" applyAlignment="1">
      <alignment horizontal="center" vertical="center" wrapText="1"/>
    </xf>
    <xf numFmtId="172" fontId="7" fillId="2" borderId="1" xfId="1" applyNumberFormat="1" applyFont="1" applyFill="1" applyBorder="1" applyAlignment="1">
      <alignment horizontal="right" vertical="center" wrapText="1"/>
    </xf>
    <xf numFmtId="172" fontId="46" fillId="2" borderId="0" xfId="0" applyNumberFormat="1" applyFont="1" applyFill="1"/>
    <xf numFmtId="3" fontId="46" fillId="2" borderId="0" xfId="0" applyNumberFormat="1" applyFont="1" applyFill="1"/>
    <xf numFmtId="0" fontId="8" fillId="2" borderId="0" xfId="0" applyFont="1" applyFill="1"/>
    <xf numFmtId="0" fontId="41" fillId="2" borderId="0" xfId="0" applyFont="1" applyFill="1"/>
    <xf numFmtId="0" fontId="12" fillId="2" borderId="10" xfId="0" applyFont="1" applyFill="1" applyBorder="1" applyAlignment="1">
      <alignment horizontal="center" vertical="center" wrapText="1"/>
    </xf>
    <xf numFmtId="0" fontId="40" fillId="0" borderId="0" xfId="0" applyFont="1" applyAlignment="1">
      <alignment horizontal="center" vertical="center"/>
    </xf>
    <xf numFmtId="0" fontId="48" fillId="0" borderId="1" xfId="5" applyFont="1" applyBorder="1" applyAlignment="1">
      <alignment horizontal="center" vertical="center" wrapText="1"/>
    </xf>
    <xf numFmtId="0" fontId="13" fillId="2" borderId="1" xfId="0" applyNumberFormat="1" applyFont="1" applyFill="1" applyBorder="1" applyAlignment="1">
      <alignment horizontal="left"/>
    </xf>
    <xf numFmtId="3" fontId="18" fillId="2" borderId="1" xfId="0" applyNumberFormat="1" applyFont="1" applyFill="1" applyBorder="1" applyAlignment="1">
      <alignment vertical="center"/>
    </xf>
    <xf numFmtId="175" fontId="18" fillId="2" borderId="1" xfId="1" applyNumberFormat="1" applyFont="1" applyFill="1" applyBorder="1" applyAlignment="1">
      <alignment vertical="center"/>
    </xf>
    <xf numFmtId="2" fontId="18" fillId="2" borderId="1" xfId="0" applyNumberFormat="1" applyFont="1" applyFill="1" applyBorder="1" applyAlignment="1">
      <alignment horizontal="center" wrapText="1"/>
    </xf>
    <xf numFmtId="165" fontId="18" fillId="2" borderId="1" xfId="1" applyFont="1" applyFill="1" applyBorder="1" applyAlignment="1">
      <alignment vertical="center"/>
    </xf>
    <xf numFmtId="0" fontId="18" fillId="2" borderId="1" xfId="8" applyFont="1" applyFill="1" applyBorder="1" applyAlignment="1">
      <alignment horizontal="right" vertical="center"/>
    </xf>
    <xf numFmtId="167" fontId="18" fillId="2" borderId="1" xfId="0" applyNumberFormat="1" applyFont="1" applyFill="1" applyBorder="1" applyAlignment="1">
      <alignment vertical="center"/>
    </xf>
    <xf numFmtId="176" fontId="18" fillId="2" borderId="1" xfId="0" applyNumberFormat="1" applyFont="1" applyFill="1" applyBorder="1" applyAlignment="1">
      <alignment vertical="center"/>
    </xf>
    <xf numFmtId="167" fontId="18" fillId="0" borderId="1" xfId="0" applyNumberFormat="1" applyFont="1" applyBorder="1" applyAlignment="1">
      <alignment vertical="center"/>
    </xf>
    <xf numFmtId="166" fontId="18" fillId="2" borderId="1" xfId="0" applyNumberFormat="1" applyFont="1" applyFill="1" applyBorder="1" applyAlignment="1">
      <alignment vertical="center"/>
    </xf>
    <xf numFmtId="165" fontId="18" fillId="0" borderId="1" xfId="1" applyFont="1" applyBorder="1" applyAlignment="1">
      <alignment vertical="center"/>
    </xf>
    <xf numFmtId="4" fontId="18" fillId="0" borderId="1" xfId="0" applyNumberFormat="1" applyFont="1" applyBorder="1" applyAlignment="1">
      <alignment vertical="center"/>
    </xf>
    <xf numFmtId="0" fontId="18" fillId="2" borderId="1" xfId="0" applyNumberFormat="1" applyFont="1" applyFill="1" applyBorder="1" applyAlignment="1">
      <alignment horizontal="center" wrapText="1"/>
    </xf>
    <xf numFmtId="4" fontId="18" fillId="2" borderId="1" xfId="0" applyNumberFormat="1" applyFont="1" applyFill="1" applyBorder="1" applyAlignment="1">
      <alignment vertical="center"/>
    </xf>
    <xf numFmtId="2" fontId="18" fillId="2" borderId="1" xfId="0" applyNumberFormat="1" applyFont="1" applyFill="1" applyBorder="1" applyAlignment="1">
      <alignment horizontal="center"/>
    </xf>
    <xf numFmtId="0" fontId="48" fillId="2" borderId="1" xfId="5" applyFont="1" applyFill="1" applyBorder="1" applyAlignment="1">
      <alignment horizontal="center" vertical="center" wrapText="1"/>
    </xf>
    <xf numFmtId="2" fontId="18" fillId="2" borderId="1" xfId="1" applyNumberFormat="1" applyFont="1" applyFill="1" applyBorder="1" applyAlignment="1">
      <alignment horizontal="center" wrapText="1"/>
    </xf>
    <xf numFmtId="0" fontId="13" fillId="2" borderId="1" xfId="0" applyFont="1" applyFill="1" applyBorder="1" applyAlignment="1">
      <alignment horizontal="left"/>
    </xf>
    <xf numFmtId="0" fontId="28" fillId="2" borderId="1" xfId="0" applyNumberFormat="1" applyFont="1" applyFill="1" applyBorder="1" applyAlignment="1">
      <alignment horizontal="center" wrapText="1"/>
    </xf>
    <xf numFmtId="0" fontId="49" fillId="0" borderId="0" xfId="0" applyFont="1"/>
    <xf numFmtId="0" fontId="41" fillId="0" borderId="0" xfId="2" applyFont="1" applyAlignment="1">
      <alignment horizontal="center"/>
    </xf>
    <xf numFmtId="0" fontId="41" fillId="0" borderId="0" xfId="0" applyFont="1"/>
    <xf numFmtId="0" fontId="41" fillId="0" borderId="0" xfId="0" applyFont="1" applyAlignment="1">
      <alignment horizontal="center"/>
    </xf>
    <xf numFmtId="0" fontId="47" fillId="0" borderId="0" xfId="0" applyFont="1" applyAlignment="1">
      <alignment horizontal="center"/>
    </xf>
    <xf numFmtId="0" fontId="47" fillId="0" borderId="0" xfId="0" applyFont="1"/>
    <xf numFmtId="0" fontId="1" fillId="2" borderId="1" xfId="0" applyFont="1" applyFill="1" applyBorder="1" applyAlignment="1" applyProtection="1">
      <alignment horizontal="center" vertical="center" wrapText="1"/>
      <protection locked="0"/>
    </xf>
    <xf numFmtId="4" fontId="13" fillId="2" borderId="1" xfId="1" applyNumberFormat="1" applyFont="1" applyFill="1" applyBorder="1" applyAlignment="1">
      <alignment horizontal="center" vertical="center" wrapText="1"/>
    </xf>
    <xf numFmtId="176" fontId="13" fillId="2" borderId="1" xfId="1" applyNumberFormat="1" applyFont="1" applyFill="1" applyBorder="1" applyAlignment="1">
      <alignment horizontal="center" vertical="center" wrapText="1"/>
    </xf>
    <xf numFmtId="178" fontId="12" fillId="2" borderId="1" xfId="11" applyNumberFormat="1" applyFont="1" applyFill="1" applyBorder="1" applyAlignment="1">
      <alignment vertical="center" wrapText="1"/>
    </xf>
    <xf numFmtId="43" fontId="13" fillId="2" borderId="1" xfId="1" applyNumberFormat="1" applyFont="1" applyFill="1" applyBorder="1" applyAlignment="1">
      <alignment horizontal="right" vertical="center" wrapText="1"/>
    </xf>
    <xf numFmtId="43" fontId="12" fillId="2" borderId="1" xfId="11" applyNumberFormat="1" applyFont="1" applyFill="1" applyBorder="1" applyAlignment="1">
      <alignment vertical="center" wrapText="1"/>
    </xf>
    <xf numFmtId="43" fontId="12" fillId="2" borderId="1" xfId="11" applyNumberFormat="1" applyFont="1" applyFill="1" applyBorder="1" applyAlignment="1">
      <alignment horizontal="right" vertical="center" wrapText="1"/>
    </xf>
    <xf numFmtId="0" fontId="18" fillId="0" borderId="1" xfId="0" applyFont="1" applyFill="1" applyBorder="1" applyAlignment="1">
      <alignment horizontal="center" vertical="center"/>
    </xf>
    <xf numFmtId="0" fontId="18" fillId="2" borderId="1" xfId="10" quotePrefix="1" applyFont="1" applyFill="1" applyBorder="1" applyAlignment="1">
      <alignment horizontal="left" wrapText="1"/>
    </xf>
    <xf numFmtId="0" fontId="18" fillId="0" borderId="1" xfId="10" quotePrefix="1" applyFont="1" applyFill="1" applyBorder="1" applyAlignment="1">
      <alignment horizontal="left" wrapText="1"/>
    </xf>
    <xf numFmtId="0" fontId="13" fillId="2" borderId="1" xfId="0" applyFont="1" applyFill="1" applyBorder="1" applyAlignment="1">
      <alignment horizontal="center"/>
    </xf>
    <xf numFmtId="177" fontId="18" fillId="2" borderId="1" xfId="0" applyNumberFormat="1" applyFont="1" applyFill="1" applyBorder="1" applyAlignment="1">
      <alignment horizontal="center" wrapText="1"/>
    </xf>
    <xf numFmtId="0" fontId="50" fillId="0" borderId="0" xfId="0" applyFont="1"/>
    <xf numFmtId="0" fontId="49" fillId="0" borderId="0" xfId="0" applyFont="1" applyFill="1"/>
    <xf numFmtId="0" fontId="47" fillId="0" borderId="0" xfId="0" applyFont="1" applyAlignment="1">
      <alignment horizontal="center" vertical="center"/>
    </xf>
    <xf numFmtId="0" fontId="47" fillId="0" borderId="0" xfId="0" applyFont="1" applyAlignment="1">
      <alignment vertical="center"/>
    </xf>
    <xf numFmtId="0" fontId="51" fillId="0" borderId="0" xfId="0" applyFont="1"/>
    <xf numFmtId="0" fontId="18" fillId="0" borderId="1" xfId="10" quotePrefix="1" applyFont="1" applyFill="1" applyBorder="1" applyAlignment="1">
      <alignment horizontal="left" vertical="center" wrapText="1"/>
    </xf>
    <xf numFmtId="173" fontId="18" fillId="2" borderId="1" xfId="0" applyNumberFormat="1" applyFont="1" applyFill="1" applyBorder="1" applyAlignment="1">
      <alignment vertical="center"/>
    </xf>
    <xf numFmtId="0" fontId="18" fillId="2" borderId="1" xfId="10" quotePrefix="1" applyFont="1" applyFill="1" applyBorder="1" applyAlignment="1">
      <alignment horizontal="left" vertical="center" wrapText="1"/>
    </xf>
    <xf numFmtId="0" fontId="52" fillId="2" borderId="1" xfId="0" quotePrefix="1" applyFont="1" applyFill="1" applyBorder="1" applyAlignment="1">
      <alignment horizontal="center"/>
    </xf>
    <xf numFmtId="0" fontId="52" fillId="0" borderId="1" xfId="0" quotePrefix="1" applyFont="1" applyBorder="1" applyAlignment="1">
      <alignment horizontal="center"/>
    </xf>
    <xf numFmtId="17" fontId="52" fillId="0" borderId="1" xfId="0" quotePrefix="1" applyNumberFormat="1" applyFont="1" applyBorder="1" applyAlignment="1">
      <alignment horizontal="center"/>
    </xf>
    <xf numFmtId="4" fontId="6" fillId="2" borderId="14" xfId="0" applyNumberFormat="1" applyFont="1" applyFill="1" applyBorder="1" applyAlignment="1">
      <alignment vertical="center"/>
    </xf>
    <xf numFmtId="43" fontId="8" fillId="2" borderId="0" xfId="0" applyNumberFormat="1" applyFont="1" applyFill="1"/>
    <xf numFmtId="0" fontId="20" fillId="0" borderId="6" xfId="0" applyFont="1" applyFill="1" applyBorder="1" applyAlignment="1">
      <alignment vertical="center" wrapText="1"/>
    </xf>
    <xf numFmtId="0" fontId="25" fillId="0" borderId="0" xfId="0" applyFont="1" applyAlignment="1">
      <alignment vertical="center" wrapText="1"/>
    </xf>
    <xf numFmtId="0" fontId="10" fillId="0" borderId="1" xfId="0" applyFont="1" applyBorder="1" applyAlignment="1">
      <alignment horizontal="center" vertical="center" wrapText="1"/>
    </xf>
    <xf numFmtId="0" fontId="41" fillId="0" borderId="0" xfId="0" applyFont="1" applyAlignment="1">
      <alignment horizontal="center"/>
    </xf>
    <xf numFmtId="0" fontId="39" fillId="0" borderId="0" xfId="0" applyFont="1" applyFill="1" applyAlignment="1">
      <alignment horizontal="center"/>
    </xf>
    <xf numFmtId="0" fontId="39" fillId="0" borderId="0" xfId="0" applyFont="1" applyAlignment="1">
      <alignment horizontal="center" vertical="center"/>
    </xf>
    <xf numFmtId="0" fontId="40" fillId="0" borderId="0" xfId="0" applyFont="1" applyAlignment="1">
      <alignment horizontal="center" vertical="center"/>
    </xf>
    <xf numFmtId="2" fontId="1" fillId="0" borderId="0" xfId="0" applyNumberFormat="1" applyFont="1" applyFill="1"/>
    <xf numFmtId="43" fontId="18" fillId="2" borderId="3" xfId="0" applyNumberFormat="1" applyFont="1" applyFill="1" applyBorder="1" applyAlignment="1">
      <alignment vertical="center"/>
    </xf>
    <xf numFmtId="43" fontId="18" fillId="2" borderId="5" xfId="0" applyNumberFormat="1" applyFont="1" applyFill="1" applyBorder="1" applyAlignment="1">
      <alignment vertical="center"/>
    </xf>
    <xf numFmtId="169" fontId="34" fillId="2" borderId="0" xfId="1" applyNumberFormat="1" applyFont="1" applyFill="1" applyBorder="1" applyAlignment="1">
      <alignment vertical="center"/>
    </xf>
    <xf numFmtId="43" fontId="9" fillId="2" borderId="0" xfId="1" applyNumberFormat="1" applyFont="1" applyFill="1" applyBorder="1" applyAlignment="1">
      <alignment vertical="center"/>
    </xf>
    <xf numFmtId="0" fontId="13" fillId="2" borderId="0" xfId="0" applyFont="1" applyFill="1" applyBorder="1" applyAlignment="1">
      <alignment vertical="center"/>
    </xf>
    <xf numFmtId="0" fontId="0" fillId="2" borderId="0" xfId="0" applyFill="1"/>
    <xf numFmtId="4" fontId="0" fillId="2" borderId="0" xfId="0" applyNumberFormat="1" applyFill="1"/>
    <xf numFmtId="166" fontId="7" fillId="2" borderId="0" xfId="0" applyNumberFormat="1" applyFont="1" applyFill="1"/>
    <xf numFmtId="4" fontId="7" fillId="2" borderId="0" xfId="0" applyNumberFormat="1" applyFont="1" applyFill="1"/>
    <xf numFmtId="3" fontId="7" fillId="2" borderId="0" xfId="0" applyNumberFormat="1" applyFont="1" applyFill="1"/>
    <xf numFmtId="0" fontId="13" fillId="2" borderId="0" xfId="0" applyFont="1" applyFill="1" applyAlignment="1">
      <alignment vertical="center"/>
    </xf>
    <xf numFmtId="0" fontId="47" fillId="0" borderId="7" xfId="0" applyFont="1" applyBorder="1" applyAlignment="1"/>
    <xf numFmtId="175" fontId="18" fillId="0" borderId="1" xfId="1" applyNumberFormat="1" applyFont="1" applyBorder="1" applyAlignment="1">
      <alignment vertical="center"/>
    </xf>
    <xf numFmtId="0" fontId="27" fillId="2" borderId="1" xfId="8" applyFont="1" applyFill="1" applyBorder="1" applyAlignment="1">
      <alignment horizontal="right" vertical="center"/>
    </xf>
    <xf numFmtId="176" fontId="18" fillId="0" borderId="1" xfId="0" applyNumberFormat="1" applyFont="1" applyBorder="1" applyAlignment="1">
      <alignment vertical="center"/>
    </xf>
    <xf numFmtId="2" fontId="18" fillId="2" borderId="1" xfId="9" applyNumberFormat="1" applyFont="1" applyFill="1" applyBorder="1" applyAlignment="1">
      <alignment horizontal="right" vertical="center"/>
    </xf>
    <xf numFmtId="177" fontId="18" fillId="2" borderId="1" xfId="0" applyNumberFormat="1" applyFont="1" applyFill="1" applyBorder="1" applyAlignment="1">
      <alignment vertical="center"/>
    </xf>
    <xf numFmtId="172" fontId="6" fillId="2" borderId="1" xfId="12" applyNumberFormat="1" applyFont="1" applyFill="1" applyBorder="1" applyAlignment="1">
      <alignment vertical="center" wrapText="1"/>
    </xf>
    <xf numFmtId="171" fontId="10" fillId="0" borderId="1" xfId="0" applyNumberFormat="1" applyFont="1" applyFill="1" applyBorder="1" applyAlignment="1">
      <alignment horizontal="center" vertical="center" wrapText="1"/>
    </xf>
    <xf numFmtId="0" fontId="13" fillId="2" borderId="1" xfId="10" quotePrefix="1" applyFont="1" applyFill="1" applyBorder="1" applyAlignment="1">
      <alignment horizontal="left" wrapText="1"/>
    </xf>
    <xf numFmtId="2" fontId="13" fillId="2" borderId="1" xfId="0" applyNumberFormat="1" applyFont="1" applyFill="1" applyBorder="1" applyAlignment="1">
      <alignment horizontal="center" wrapText="1"/>
    </xf>
    <xf numFmtId="3" fontId="13" fillId="0" borderId="1" xfId="0" applyNumberFormat="1" applyFont="1" applyFill="1" applyBorder="1" applyAlignment="1">
      <alignment vertical="center" wrapText="1"/>
    </xf>
    <xf numFmtId="4" fontId="13" fillId="0" borderId="1" xfId="0" applyNumberFormat="1" applyFont="1" applyFill="1" applyBorder="1" applyAlignment="1">
      <alignment vertical="center" wrapText="1"/>
    </xf>
    <xf numFmtId="14" fontId="13" fillId="0" borderId="1" xfId="0" applyNumberFormat="1" applyFont="1" applyBorder="1" applyAlignment="1">
      <alignment horizontal="center" vertical="center"/>
    </xf>
    <xf numFmtId="177" fontId="13" fillId="2" borderId="1" xfId="0" applyNumberFormat="1" applyFont="1" applyFill="1" applyBorder="1" applyAlignment="1">
      <alignment horizontal="center" wrapText="1"/>
    </xf>
    <xf numFmtId="0" fontId="13" fillId="0" borderId="1" xfId="10" quotePrefix="1" applyFont="1" applyFill="1" applyBorder="1" applyAlignment="1">
      <alignment horizontal="left" wrapText="1"/>
    </xf>
    <xf numFmtId="0" fontId="13" fillId="2" borderId="1" xfId="0" applyNumberFormat="1" applyFont="1" applyFill="1" applyBorder="1" applyAlignment="1">
      <alignment horizontal="center" wrapText="1"/>
    </xf>
    <xf numFmtId="0" fontId="51" fillId="0" borderId="0" xfId="0" applyFont="1" applyAlignment="1"/>
    <xf numFmtId="0" fontId="50" fillId="0" borderId="0" xfId="0" applyFont="1" applyAlignment="1"/>
    <xf numFmtId="0" fontId="55" fillId="0" borderId="0" xfId="0" applyFont="1"/>
    <xf numFmtId="0" fontId="1" fillId="2" borderId="0" xfId="0" applyFont="1" applyFill="1"/>
    <xf numFmtId="0" fontId="10" fillId="0" borderId="1" xfId="0" applyFont="1" applyBorder="1" applyAlignment="1">
      <alignment horizontal="center" vertical="center" wrapText="1"/>
    </xf>
    <xf numFmtId="0" fontId="41" fillId="0" borderId="0" xfId="0" applyFont="1" applyAlignment="1">
      <alignment horizontal="center"/>
    </xf>
    <xf numFmtId="0" fontId="47" fillId="0" borderId="7" xfId="0" applyFont="1" applyBorder="1" applyAlignment="1">
      <alignment horizontal="center"/>
    </xf>
    <xf numFmtId="0" fontId="8" fillId="0" borderId="0" xfId="0" applyFont="1" applyAlignment="1">
      <alignment horizontal="left"/>
    </xf>
    <xf numFmtId="0" fontId="12" fillId="0" borderId="1" xfId="0" applyFont="1" applyBorder="1" applyAlignment="1">
      <alignment horizontal="center" vertical="center" wrapText="1"/>
    </xf>
    <xf numFmtId="0" fontId="8" fillId="0" borderId="0" xfId="0" applyFont="1" applyAlignment="1">
      <alignment horizontal="center"/>
    </xf>
    <xf numFmtId="0" fontId="8" fillId="2" borderId="0" xfId="0" applyFont="1" applyFill="1" applyAlignment="1">
      <alignment horizontal="center" vertical="center" wrapText="1"/>
    </xf>
    <xf numFmtId="0" fontId="41" fillId="2" borderId="0" xfId="0" applyFont="1" applyFill="1" applyAlignment="1">
      <alignment horizontal="center" wrapText="1"/>
    </xf>
    <xf numFmtId="0" fontId="41" fillId="2" borderId="0" xfId="0" applyFont="1" applyFill="1" applyAlignment="1">
      <alignment horizontal="center"/>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8" fillId="2" borderId="0" xfId="0" applyFont="1" applyFill="1" applyAlignment="1">
      <alignment horizontal="center" vertical="top" wrapText="1"/>
    </xf>
    <xf numFmtId="0" fontId="8" fillId="2" borderId="0" xfId="0" applyFont="1" applyFill="1" applyAlignment="1">
      <alignment horizontal="center"/>
    </xf>
    <xf numFmtId="0" fontId="47" fillId="2" borderId="7" xfId="0" applyFont="1" applyFill="1"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 fillId="0" borderId="0" xfId="0" applyFont="1" applyAlignment="1">
      <alignment horizontal="left"/>
    </xf>
    <xf numFmtId="0" fontId="29" fillId="0" borderId="0" xfId="0" applyFont="1" applyAlignment="1">
      <alignment horizontal="center"/>
    </xf>
    <xf numFmtId="0" fontId="51" fillId="0" borderId="0" xfId="0" applyFont="1" applyAlignment="1">
      <alignment horizontal="center"/>
    </xf>
    <xf numFmtId="0" fontId="24" fillId="0" borderId="0" xfId="0" applyFont="1" applyAlignment="1">
      <alignment horizontal="center"/>
    </xf>
    <xf numFmtId="0" fontId="30" fillId="0" borderId="2" xfId="0" applyFont="1" applyBorder="1" applyAlignment="1">
      <alignment horizontal="center"/>
    </xf>
    <xf numFmtId="0" fontId="1" fillId="0" borderId="6" xfId="0" applyFont="1" applyFill="1" applyBorder="1" applyAlignment="1">
      <alignment vertical="center" wrapText="1"/>
    </xf>
    <xf numFmtId="0" fontId="0" fillId="0" borderId="0" xfId="0" applyFill="1" applyAlignment="1">
      <alignment vertical="center" wrapText="1"/>
    </xf>
    <xf numFmtId="0" fontId="54" fillId="0" borderId="7" xfId="0" applyFont="1" applyBorder="1" applyAlignment="1">
      <alignment horizontal="center"/>
    </xf>
    <xf numFmtId="0" fontId="4" fillId="0" borderId="6" xfId="0" applyFont="1" applyBorder="1" applyAlignment="1">
      <alignment horizontal="center" vertical="center" wrapText="1"/>
    </xf>
    <xf numFmtId="0" fontId="21" fillId="0" borderId="1" xfId="0" applyFont="1" applyBorder="1" applyAlignment="1">
      <alignment horizontal="center" vertical="center" wrapText="1"/>
    </xf>
    <xf numFmtId="0" fontId="1" fillId="0" borderId="6"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6" fillId="0" borderId="0" xfId="0" applyFont="1" applyAlignment="1">
      <alignment horizontal="center"/>
    </xf>
    <xf numFmtId="0" fontId="41" fillId="0" borderId="0" xfId="0" applyFont="1" applyFill="1" applyBorder="1" applyAlignment="1">
      <alignment horizontal="center" vertical="center" wrapText="1"/>
    </xf>
    <xf numFmtId="0" fontId="10" fillId="0" borderId="1" xfId="0" applyFont="1" applyFill="1" applyBorder="1" applyAlignment="1">
      <alignment horizontal="center" vertical="center"/>
    </xf>
    <xf numFmtId="0" fontId="12" fillId="0" borderId="1" xfId="0" applyFont="1" applyFill="1" applyBorder="1" applyAlignment="1">
      <alignment horizontal="center" vertical="center"/>
    </xf>
    <xf numFmtId="171" fontId="10" fillId="0" borderId="1" xfId="0" applyNumberFormat="1"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0" fontId="41" fillId="0" borderId="0" xfId="0" applyFont="1" applyAlignment="1">
      <alignment horizontal="center" vertical="center"/>
    </xf>
    <xf numFmtId="0" fontId="41" fillId="0" borderId="0" xfId="0" applyFont="1" applyFill="1" applyAlignment="1">
      <alignment horizontal="center"/>
    </xf>
    <xf numFmtId="0" fontId="47" fillId="0" borderId="0" xfId="0" applyFont="1" applyAlignment="1">
      <alignment horizontal="center" vertical="center"/>
    </xf>
    <xf numFmtId="171" fontId="9" fillId="0" borderId="1" xfId="0" applyNumberFormat="1" applyFont="1" applyFill="1" applyBorder="1" applyAlignment="1">
      <alignment horizontal="center" vertical="center" wrapText="1"/>
    </xf>
    <xf numFmtId="0" fontId="41" fillId="0" borderId="0" xfId="0" applyFont="1" applyFill="1" applyBorder="1" applyAlignment="1">
      <alignment horizontal="center" wrapText="1"/>
    </xf>
    <xf numFmtId="0" fontId="9" fillId="0" borderId="1" xfId="0" applyFont="1" applyFill="1" applyBorder="1" applyAlignment="1">
      <alignment horizontal="center" vertical="center"/>
    </xf>
    <xf numFmtId="2" fontId="9" fillId="0" borderId="1" xfId="0" applyNumberFormat="1" applyFont="1" applyFill="1" applyBorder="1" applyAlignment="1">
      <alignment horizontal="center" vertical="center" wrapText="1"/>
    </xf>
    <xf numFmtId="0" fontId="39" fillId="0" borderId="0" xfId="0" applyFont="1" applyFill="1" applyAlignment="1">
      <alignment horizontal="center"/>
    </xf>
    <xf numFmtId="0" fontId="37" fillId="0" borderId="1" xfId="0" applyFont="1" applyFill="1" applyBorder="1" applyAlignment="1">
      <alignment horizontal="center" vertical="center"/>
    </xf>
    <xf numFmtId="171" fontId="12"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0" fontId="39" fillId="0" borderId="0" xfId="0" applyFont="1" applyAlignment="1">
      <alignment horizontal="center" vertical="center"/>
    </xf>
    <xf numFmtId="0" fontId="40" fillId="0" borderId="0" xfId="0" applyFont="1" applyAlignment="1">
      <alignment horizontal="center" vertical="center"/>
    </xf>
    <xf numFmtId="0" fontId="38" fillId="0" borderId="0" xfId="0" applyFont="1" applyFill="1" applyAlignment="1">
      <alignment horizontal="center"/>
    </xf>
  </cellXfs>
  <cellStyles count="13">
    <cellStyle name="Comma" xfId="1" builtinId="3"/>
    <cellStyle name="Comma 10" xfId="12"/>
    <cellStyle name="Comma 12" xfId="3"/>
    <cellStyle name="Comma 7" xfId="11"/>
    <cellStyle name="Normal" xfId="0" builtinId="0"/>
    <cellStyle name="Normal 10_bieu tong hop Giao Ke hoach 2016" xfId="10"/>
    <cellStyle name="Normal 2" xfId="5"/>
    <cellStyle name="Normal 2 2" xfId="6"/>
    <cellStyle name="Normal 2_160507 Bieu mau NSDP ND sua ND73" xfId="2"/>
    <cellStyle name="Normal 3" xfId="4"/>
    <cellStyle name="Normal_bang luong" xfId="9"/>
    <cellStyle name="Normal_Sheet1" xfId="8"/>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358140</xdr:colOff>
      <xdr:row>1</xdr:row>
      <xdr:rowOff>0</xdr:rowOff>
    </xdr:from>
    <xdr:to>
      <xdr:col>2</xdr:col>
      <xdr:colOff>0</xdr:colOff>
      <xdr:row>1</xdr:row>
      <xdr:rowOff>0</xdr:rowOff>
    </xdr:to>
    <xdr:cxnSp macro="">
      <xdr:nvCxnSpPr>
        <xdr:cNvPr id="3" name="Straight Connector 2"/>
        <xdr:cNvCxnSpPr/>
      </xdr:nvCxnSpPr>
      <xdr:spPr>
        <a:xfrm>
          <a:off x="571500" y="182880"/>
          <a:ext cx="96774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228600</xdr:colOff>
      <xdr:row>1</xdr:row>
      <xdr:rowOff>15240</xdr:rowOff>
    </xdr:from>
    <xdr:to>
      <xdr:col>1</xdr:col>
      <xdr:colOff>1280160</xdr:colOff>
      <xdr:row>1</xdr:row>
      <xdr:rowOff>15240</xdr:rowOff>
    </xdr:to>
    <xdr:cxnSp macro="">
      <xdr:nvCxnSpPr>
        <xdr:cNvPr id="3" name="Straight Connector 2"/>
        <xdr:cNvCxnSpPr/>
      </xdr:nvCxnSpPr>
      <xdr:spPr>
        <a:xfrm>
          <a:off x="441960" y="198120"/>
          <a:ext cx="105156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320040</xdr:colOff>
      <xdr:row>0</xdr:row>
      <xdr:rowOff>236220</xdr:rowOff>
    </xdr:from>
    <xdr:to>
      <xdr:col>2</xdr:col>
      <xdr:colOff>228600</xdr:colOff>
      <xdr:row>0</xdr:row>
      <xdr:rowOff>236220</xdr:rowOff>
    </xdr:to>
    <xdr:cxnSp macro="">
      <xdr:nvCxnSpPr>
        <xdr:cNvPr id="3" name="Straight Connector 2"/>
        <xdr:cNvCxnSpPr/>
      </xdr:nvCxnSpPr>
      <xdr:spPr>
        <a:xfrm>
          <a:off x="640080" y="236220"/>
          <a:ext cx="1143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327660</xdr:colOff>
      <xdr:row>0</xdr:row>
      <xdr:rowOff>205740</xdr:rowOff>
    </xdr:from>
    <xdr:to>
      <xdr:col>2</xdr:col>
      <xdr:colOff>259080</xdr:colOff>
      <xdr:row>0</xdr:row>
      <xdr:rowOff>205740</xdr:rowOff>
    </xdr:to>
    <xdr:cxnSp macro="">
      <xdr:nvCxnSpPr>
        <xdr:cNvPr id="3" name="Straight Connector 2"/>
        <xdr:cNvCxnSpPr/>
      </xdr:nvCxnSpPr>
      <xdr:spPr>
        <a:xfrm>
          <a:off x="647700" y="205740"/>
          <a:ext cx="98298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289560</xdr:colOff>
      <xdr:row>2</xdr:row>
      <xdr:rowOff>22860</xdr:rowOff>
    </xdr:from>
    <xdr:to>
      <xdr:col>1</xdr:col>
      <xdr:colOff>1318260</xdr:colOff>
      <xdr:row>2</xdr:row>
      <xdr:rowOff>22860</xdr:rowOff>
    </xdr:to>
    <xdr:cxnSp macro="">
      <xdr:nvCxnSpPr>
        <xdr:cNvPr id="3" name="Straight Connector 2"/>
        <xdr:cNvCxnSpPr/>
      </xdr:nvCxnSpPr>
      <xdr:spPr>
        <a:xfrm>
          <a:off x="701040" y="419100"/>
          <a:ext cx="10287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541020</xdr:colOff>
      <xdr:row>2</xdr:row>
      <xdr:rowOff>22860</xdr:rowOff>
    </xdr:from>
    <xdr:to>
      <xdr:col>2</xdr:col>
      <xdr:colOff>7620</xdr:colOff>
      <xdr:row>2</xdr:row>
      <xdr:rowOff>22860</xdr:rowOff>
    </xdr:to>
    <xdr:cxnSp macro="">
      <xdr:nvCxnSpPr>
        <xdr:cNvPr id="3" name="Straight Connector 2"/>
        <xdr:cNvCxnSpPr/>
      </xdr:nvCxnSpPr>
      <xdr:spPr>
        <a:xfrm>
          <a:off x="838200" y="426720"/>
          <a:ext cx="102108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617220</xdr:colOff>
      <xdr:row>1</xdr:row>
      <xdr:rowOff>190500</xdr:rowOff>
    </xdr:from>
    <xdr:to>
      <xdr:col>1</xdr:col>
      <xdr:colOff>1623060</xdr:colOff>
      <xdr:row>1</xdr:row>
      <xdr:rowOff>190500</xdr:rowOff>
    </xdr:to>
    <xdr:cxnSp macro="">
      <xdr:nvCxnSpPr>
        <xdr:cNvPr id="3" name="Straight Connector 2"/>
        <xdr:cNvCxnSpPr/>
      </xdr:nvCxnSpPr>
      <xdr:spPr>
        <a:xfrm>
          <a:off x="967740" y="396240"/>
          <a:ext cx="100584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646739</xdr:colOff>
      <xdr:row>2</xdr:row>
      <xdr:rowOff>32017</xdr:rowOff>
    </xdr:from>
    <xdr:to>
      <xdr:col>2</xdr:col>
      <xdr:colOff>32017</xdr:colOff>
      <xdr:row>2</xdr:row>
      <xdr:rowOff>32017</xdr:rowOff>
    </xdr:to>
    <xdr:cxnSp macro="">
      <xdr:nvCxnSpPr>
        <xdr:cNvPr id="3" name="Straight Connector 2"/>
        <xdr:cNvCxnSpPr/>
      </xdr:nvCxnSpPr>
      <xdr:spPr>
        <a:xfrm>
          <a:off x="1011731" y="429025"/>
          <a:ext cx="99252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762000</xdr:colOff>
      <xdr:row>1</xdr:row>
      <xdr:rowOff>190500</xdr:rowOff>
    </xdr:from>
    <xdr:to>
      <xdr:col>2</xdr:col>
      <xdr:colOff>45720</xdr:colOff>
      <xdr:row>1</xdr:row>
      <xdr:rowOff>190500</xdr:rowOff>
    </xdr:to>
    <xdr:cxnSp macro="">
      <xdr:nvCxnSpPr>
        <xdr:cNvPr id="5" name="Straight Connector 4"/>
        <xdr:cNvCxnSpPr/>
      </xdr:nvCxnSpPr>
      <xdr:spPr>
        <a:xfrm>
          <a:off x="1127760" y="388620"/>
          <a:ext cx="86106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1"/>
  <sheetViews>
    <sheetView view="pageBreakPreview" topLeftCell="A61" zoomScaleNormal="100" zoomScaleSheetLayoutView="100" workbookViewId="0">
      <selection activeCell="X1" sqref="X1:AL1048576"/>
    </sheetView>
  </sheetViews>
  <sheetFormatPr defaultRowHeight="11.25" x14ac:dyDescent="0.2"/>
  <cols>
    <col min="1" max="1" width="3.140625" style="98" customWidth="1"/>
    <col min="2" max="2" width="19.28515625" style="98" customWidth="1"/>
    <col min="3" max="3" width="5.7109375" style="98" customWidth="1"/>
    <col min="4" max="4" width="6.28515625" style="98" customWidth="1"/>
    <col min="5" max="5" width="9.7109375" style="98" customWidth="1"/>
    <col min="6" max="6" width="6.85546875" style="98" customWidth="1"/>
    <col min="7" max="7" width="8.42578125" style="98" customWidth="1"/>
    <col min="8" max="9" width="5.28515625" style="98" customWidth="1"/>
    <col min="10" max="10" width="5.85546875" style="98" customWidth="1"/>
    <col min="11" max="11" width="4.140625" style="98" customWidth="1"/>
    <col min="12" max="12" width="5.28515625" style="98" customWidth="1"/>
    <col min="13" max="13" width="5.7109375" style="98" customWidth="1"/>
    <col min="14" max="14" width="6.28515625" style="98" customWidth="1"/>
    <col min="15" max="15" width="4.7109375" style="98" customWidth="1"/>
    <col min="16" max="16" width="4.42578125" style="98" customWidth="1"/>
    <col min="17" max="17" width="4.85546875" style="98" customWidth="1"/>
    <col min="18" max="18" width="5.28515625" style="98" customWidth="1"/>
    <col min="19" max="19" width="5.85546875" style="98" customWidth="1"/>
    <col min="20" max="20" width="6.5703125" style="98" customWidth="1"/>
    <col min="21" max="21" width="6.28515625" style="98" customWidth="1"/>
    <col min="22" max="22" width="8.5703125" style="98" customWidth="1"/>
    <col min="23" max="23" width="5.85546875" style="98" customWidth="1"/>
    <col min="24" max="25" width="5.85546875" style="98" hidden="1" customWidth="1"/>
    <col min="26" max="26" width="17.85546875" style="70" hidden="1" customWidth="1"/>
    <col min="27" max="27" width="17.28515625" style="70" hidden="1" customWidth="1"/>
    <col min="28" max="28" width="14" style="98" hidden="1" customWidth="1"/>
    <col min="29" max="29" width="13.5703125" style="98" hidden="1" customWidth="1"/>
    <col min="30" max="31" width="0" style="98" hidden="1" customWidth="1"/>
    <col min="32" max="32" width="11" style="98" hidden="1" customWidth="1"/>
    <col min="33" max="36" width="0" style="98" hidden="1" customWidth="1"/>
    <col min="37" max="37" width="14.42578125" style="98" hidden="1" customWidth="1"/>
    <col min="38" max="38" width="0" style="98" hidden="1" customWidth="1"/>
    <col min="39" max="255" width="8.85546875" style="98"/>
    <col min="256" max="256" width="4.5703125" style="98" customWidth="1"/>
    <col min="257" max="257" width="21.140625" style="98" customWidth="1"/>
    <col min="258" max="259" width="4.85546875" style="98" customWidth="1"/>
    <col min="260" max="260" width="7.5703125" style="98" customWidth="1"/>
    <col min="261" max="261" width="6.28515625" style="98" customWidth="1"/>
    <col min="262" max="262" width="6.7109375" style="98" customWidth="1"/>
    <col min="263" max="264" width="5.28515625" style="98" customWidth="1"/>
    <col min="265" max="265" width="6" style="98" customWidth="1"/>
    <col min="266" max="266" width="4.85546875" style="98" customWidth="1"/>
    <col min="267" max="267" width="5" style="98" customWidth="1"/>
    <col min="268" max="269" width="7.42578125" style="98" customWidth="1"/>
    <col min="270" max="273" width="4.85546875" style="98" customWidth="1"/>
    <col min="274" max="274" width="6.140625" style="98" customWidth="1"/>
    <col min="275" max="275" width="6.7109375" style="98" customWidth="1"/>
    <col min="276" max="276" width="5.28515625" style="98" customWidth="1"/>
    <col min="277" max="278" width="6.85546875" style="98" customWidth="1"/>
    <col min="279" max="511" width="8.85546875" style="98"/>
    <col min="512" max="512" width="4.5703125" style="98" customWidth="1"/>
    <col min="513" max="513" width="21.140625" style="98" customWidth="1"/>
    <col min="514" max="515" width="4.85546875" style="98" customWidth="1"/>
    <col min="516" max="516" width="7.5703125" style="98" customWidth="1"/>
    <col min="517" max="517" width="6.28515625" style="98" customWidth="1"/>
    <col min="518" max="518" width="6.7109375" style="98" customWidth="1"/>
    <col min="519" max="520" width="5.28515625" style="98" customWidth="1"/>
    <col min="521" max="521" width="6" style="98" customWidth="1"/>
    <col min="522" max="522" width="4.85546875" style="98" customWidth="1"/>
    <col min="523" max="523" width="5" style="98" customWidth="1"/>
    <col min="524" max="525" width="7.42578125" style="98" customWidth="1"/>
    <col min="526" max="529" width="4.85546875" style="98" customWidth="1"/>
    <col min="530" max="530" width="6.140625" style="98" customWidth="1"/>
    <col min="531" max="531" width="6.7109375" style="98" customWidth="1"/>
    <col min="532" max="532" width="5.28515625" style="98" customWidth="1"/>
    <col min="533" max="534" width="6.85546875" style="98" customWidth="1"/>
    <col min="535" max="767" width="8.85546875" style="98"/>
    <col min="768" max="768" width="4.5703125" style="98" customWidth="1"/>
    <col min="769" max="769" width="21.140625" style="98" customWidth="1"/>
    <col min="770" max="771" width="4.85546875" style="98" customWidth="1"/>
    <col min="772" max="772" width="7.5703125" style="98" customWidth="1"/>
    <col min="773" max="773" width="6.28515625" style="98" customWidth="1"/>
    <col min="774" max="774" width="6.7109375" style="98" customWidth="1"/>
    <col min="775" max="776" width="5.28515625" style="98" customWidth="1"/>
    <col min="777" max="777" width="6" style="98" customWidth="1"/>
    <col min="778" max="778" width="4.85546875" style="98" customWidth="1"/>
    <col min="779" max="779" width="5" style="98" customWidth="1"/>
    <col min="780" max="781" width="7.42578125" style="98" customWidth="1"/>
    <col min="782" max="785" width="4.85546875" style="98" customWidth="1"/>
    <col min="786" max="786" width="6.140625" style="98" customWidth="1"/>
    <col min="787" max="787" width="6.7109375" style="98" customWidth="1"/>
    <col min="788" max="788" width="5.28515625" style="98" customWidth="1"/>
    <col min="789" max="790" width="6.85546875" style="98" customWidth="1"/>
    <col min="791" max="1023" width="8.85546875" style="98"/>
    <col min="1024" max="1024" width="4.5703125" style="98" customWidth="1"/>
    <col min="1025" max="1025" width="21.140625" style="98" customWidth="1"/>
    <col min="1026" max="1027" width="4.85546875" style="98" customWidth="1"/>
    <col min="1028" max="1028" width="7.5703125" style="98" customWidth="1"/>
    <col min="1029" max="1029" width="6.28515625" style="98" customWidth="1"/>
    <col min="1030" max="1030" width="6.7109375" style="98" customWidth="1"/>
    <col min="1031" max="1032" width="5.28515625" style="98" customWidth="1"/>
    <col min="1033" max="1033" width="6" style="98" customWidth="1"/>
    <col min="1034" max="1034" width="4.85546875" style="98" customWidth="1"/>
    <col min="1035" max="1035" width="5" style="98" customWidth="1"/>
    <col min="1036" max="1037" width="7.42578125" style="98" customWidth="1"/>
    <col min="1038" max="1041" width="4.85546875" style="98" customWidth="1"/>
    <col min="1042" max="1042" width="6.140625" style="98" customWidth="1"/>
    <col min="1043" max="1043" width="6.7109375" style="98" customWidth="1"/>
    <col min="1044" max="1044" width="5.28515625" style="98" customWidth="1"/>
    <col min="1045" max="1046" width="6.85546875" style="98" customWidth="1"/>
    <col min="1047" max="1279" width="8.85546875" style="98"/>
    <col min="1280" max="1280" width="4.5703125" style="98" customWidth="1"/>
    <col min="1281" max="1281" width="21.140625" style="98" customWidth="1"/>
    <col min="1282" max="1283" width="4.85546875" style="98" customWidth="1"/>
    <col min="1284" max="1284" width="7.5703125" style="98" customWidth="1"/>
    <col min="1285" max="1285" width="6.28515625" style="98" customWidth="1"/>
    <col min="1286" max="1286" width="6.7109375" style="98" customWidth="1"/>
    <col min="1287" max="1288" width="5.28515625" style="98" customWidth="1"/>
    <col min="1289" max="1289" width="6" style="98" customWidth="1"/>
    <col min="1290" max="1290" width="4.85546875" style="98" customWidth="1"/>
    <col min="1291" max="1291" width="5" style="98" customWidth="1"/>
    <col min="1292" max="1293" width="7.42578125" style="98" customWidth="1"/>
    <col min="1294" max="1297" width="4.85546875" style="98" customWidth="1"/>
    <col min="1298" max="1298" width="6.140625" style="98" customWidth="1"/>
    <col min="1299" max="1299" width="6.7109375" style="98" customWidth="1"/>
    <col min="1300" max="1300" width="5.28515625" style="98" customWidth="1"/>
    <col min="1301" max="1302" width="6.85546875" style="98" customWidth="1"/>
    <col min="1303" max="1535" width="8.85546875" style="98"/>
    <col min="1536" max="1536" width="4.5703125" style="98" customWidth="1"/>
    <col min="1537" max="1537" width="21.140625" style="98" customWidth="1"/>
    <col min="1538" max="1539" width="4.85546875" style="98" customWidth="1"/>
    <col min="1540" max="1540" width="7.5703125" style="98" customWidth="1"/>
    <col min="1541" max="1541" width="6.28515625" style="98" customWidth="1"/>
    <col min="1542" max="1542" width="6.7109375" style="98" customWidth="1"/>
    <col min="1543" max="1544" width="5.28515625" style="98" customWidth="1"/>
    <col min="1545" max="1545" width="6" style="98" customWidth="1"/>
    <col min="1546" max="1546" width="4.85546875" style="98" customWidth="1"/>
    <col min="1547" max="1547" width="5" style="98" customWidth="1"/>
    <col min="1548" max="1549" width="7.42578125" style="98" customWidth="1"/>
    <col min="1550" max="1553" width="4.85546875" style="98" customWidth="1"/>
    <col min="1554" max="1554" width="6.140625" style="98" customWidth="1"/>
    <col min="1555" max="1555" width="6.7109375" style="98" customWidth="1"/>
    <col min="1556" max="1556" width="5.28515625" style="98" customWidth="1"/>
    <col min="1557" max="1558" width="6.85546875" style="98" customWidth="1"/>
    <col min="1559" max="1791" width="8.85546875" style="98"/>
    <col min="1792" max="1792" width="4.5703125" style="98" customWidth="1"/>
    <col min="1793" max="1793" width="21.140625" style="98" customWidth="1"/>
    <col min="1794" max="1795" width="4.85546875" style="98" customWidth="1"/>
    <col min="1796" max="1796" width="7.5703125" style="98" customWidth="1"/>
    <col min="1797" max="1797" width="6.28515625" style="98" customWidth="1"/>
    <col min="1798" max="1798" width="6.7109375" style="98" customWidth="1"/>
    <col min="1799" max="1800" width="5.28515625" style="98" customWidth="1"/>
    <col min="1801" max="1801" width="6" style="98" customWidth="1"/>
    <col min="1802" max="1802" width="4.85546875" style="98" customWidth="1"/>
    <col min="1803" max="1803" width="5" style="98" customWidth="1"/>
    <col min="1804" max="1805" width="7.42578125" style="98" customWidth="1"/>
    <col min="1806" max="1809" width="4.85546875" style="98" customWidth="1"/>
    <col min="1810" max="1810" width="6.140625" style="98" customWidth="1"/>
    <col min="1811" max="1811" width="6.7109375" style="98" customWidth="1"/>
    <col min="1812" max="1812" width="5.28515625" style="98" customWidth="1"/>
    <col min="1813" max="1814" width="6.85546875" style="98" customWidth="1"/>
    <col min="1815" max="2047" width="8.85546875" style="98"/>
    <col min="2048" max="2048" width="4.5703125" style="98" customWidth="1"/>
    <col min="2049" max="2049" width="21.140625" style="98" customWidth="1"/>
    <col min="2050" max="2051" width="4.85546875" style="98" customWidth="1"/>
    <col min="2052" max="2052" width="7.5703125" style="98" customWidth="1"/>
    <col min="2053" max="2053" width="6.28515625" style="98" customWidth="1"/>
    <col min="2054" max="2054" width="6.7109375" style="98" customWidth="1"/>
    <col min="2055" max="2056" width="5.28515625" style="98" customWidth="1"/>
    <col min="2057" max="2057" width="6" style="98" customWidth="1"/>
    <col min="2058" max="2058" width="4.85546875" style="98" customWidth="1"/>
    <col min="2059" max="2059" width="5" style="98" customWidth="1"/>
    <col min="2060" max="2061" width="7.42578125" style="98" customWidth="1"/>
    <col min="2062" max="2065" width="4.85546875" style="98" customWidth="1"/>
    <col min="2066" max="2066" width="6.140625" style="98" customWidth="1"/>
    <col min="2067" max="2067" width="6.7109375" style="98" customWidth="1"/>
    <col min="2068" max="2068" width="5.28515625" style="98" customWidth="1"/>
    <col min="2069" max="2070" width="6.85546875" style="98" customWidth="1"/>
    <col min="2071" max="2303" width="8.85546875" style="98"/>
    <col min="2304" max="2304" width="4.5703125" style="98" customWidth="1"/>
    <col min="2305" max="2305" width="21.140625" style="98" customWidth="1"/>
    <col min="2306" max="2307" width="4.85546875" style="98" customWidth="1"/>
    <col min="2308" max="2308" width="7.5703125" style="98" customWidth="1"/>
    <col min="2309" max="2309" width="6.28515625" style="98" customWidth="1"/>
    <col min="2310" max="2310" width="6.7109375" style="98" customWidth="1"/>
    <col min="2311" max="2312" width="5.28515625" style="98" customWidth="1"/>
    <col min="2313" max="2313" width="6" style="98" customWidth="1"/>
    <col min="2314" max="2314" width="4.85546875" style="98" customWidth="1"/>
    <col min="2315" max="2315" width="5" style="98" customWidth="1"/>
    <col min="2316" max="2317" width="7.42578125" style="98" customWidth="1"/>
    <col min="2318" max="2321" width="4.85546875" style="98" customWidth="1"/>
    <col min="2322" max="2322" width="6.140625" style="98" customWidth="1"/>
    <col min="2323" max="2323" width="6.7109375" style="98" customWidth="1"/>
    <col min="2324" max="2324" width="5.28515625" style="98" customWidth="1"/>
    <col min="2325" max="2326" width="6.85546875" style="98" customWidth="1"/>
    <col min="2327" max="2559" width="8.85546875" style="98"/>
    <col min="2560" max="2560" width="4.5703125" style="98" customWidth="1"/>
    <col min="2561" max="2561" width="21.140625" style="98" customWidth="1"/>
    <col min="2562" max="2563" width="4.85546875" style="98" customWidth="1"/>
    <col min="2564" max="2564" width="7.5703125" style="98" customWidth="1"/>
    <col min="2565" max="2565" width="6.28515625" style="98" customWidth="1"/>
    <col min="2566" max="2566" width="6.7109375" style="98" customWidth="1"/>
    <col min="2567" max="2568" width="5.28515625" style="98" customWidth="1"/>
    <col min="2569" max="2569" width="6" style="98" customWidth="1"/>
    <col min="2570" max="2570" width="4.85546875" style="98" customWidth="1"/>
    <col min="2571" max="2571" width="5" style="98" customWidth="1"/>
    <col min="2572" max="2573" width="7.42578125" style="98" customWidth="1"/>
    <col min="2574" max="2577" width="4.85546875" style="98" customWidth="1"/>
    <col min="2578" max="2578" width="6.140625" style="98" customWidth="1"/>
    <col min="2579" max="2579" width="6.7109375" style="98" customWidth="1"/>
    <col min="2580" max="2580" width="5.28515625" style="98" customWidth="1"/>
    <col min="2581" max="2582" width="6.85546875" style="98" customWidth="1"/>
    <col min="2583" max="2815" width="8.85546875" style="98"/>
    <col min="2816" max="2816" width="4.5703125" style="98" customWidth="1"/>
    <col min="2817" max="2817" width="21.140625" style="98" customWidth="1"/>
    <col min="2818" max="2819" width="4.85546875" style="98" customWidth="1"/>
    <col min="2820" max="2820" width="7.5703125" style="98" customWidth="1"/>
    <col min="2821" max="2821" width="6.28515625" style="98" customWidth="1"/>
    <col min="2822" max="2822" width="6.7109375" style="98" customWidth="1"/>
    <col min="2823" max="2824" width="5.28515625" style="98" customWidth="1"/>
    <col min="2825" max="2825" width="6" style="98" customWidth="1"/>
    <col min="2826" max="2826" width="4.85546875" style="98" customWidth="1"/>
    <col min="2827" max="2827" width="5" style="98" customWidth="1"/>
    <col min="2828" max="2829" width="7.42578125" style="98" customWidth="1"/>
    <col min="2830" max="2833" width="4.85546875" style="98" customWidth="1"/>
    <col min="2834" max="2834" width="6.140625" style="98" customWidth="1"/>
    <col min="2835" max="2835" width="6.7109375" style="98" customWidth="1"/>
    <col min="2836" max="2836" width="5.28515625" style="98" customWidth="1"/>
    <col min="2837" max="2838" width="6.85546875" style="98" customWidth="1"/>
    <col min="2839" max="3071" width="8.85546875" style="98"/>
    <col min="3072" max="3072" width="4.5703125" style="98" customWidth="1"/>
    <col min="3073" max="3073" width="21.140625" style="98" customWidth="1"/>
    <col min="3074" max="3075" width="4.85546875" style="98" customWidth="1"/>
    <col min="3076" max="3076" width="7.5703125" style="98" customWidth="1"/>
    <col min="3077" max="3077" width="6.28515625" style="98" customWidth="1"/>
    <col min="3078" max="3078" width="6.7109375" style="98" customWidth="1"/>
    <col min="3079" max="3080" width="5.28515625" style="98" customWidth="1"/>
    <col min="3081" max="3081" width="6" style="98" customWidth="1"/>
    <col min="3082" max="3082" width="4.85546875" style="98" customWidth="1"/>
    <col min="3083" max="3083" width="5" style="98" customWidth="1"/>
    <col min="3084" max="3085" width="7.42578125" style="98" customWidth="1"/>
    <col min="3086" max="3089" width="4.85546875" style="98" customWidth="1"/>
    <col min="3090" max="3090" width="6.140625" style="98" customWidth="1"/>
    <col min="3091" max="3091" width="6.7109375" style="98" customWidth="1"/>
    <col min="3092" max="3092" width="5.28515625" style="98" customWidth="1"/>
    <col min="3093" max="3094" width="6.85546875" style="98" customWidth="1"/>
    <col min="3095" max="3327" width="8.85546875" style="98"/>
    <col min="3328" max="3328" width="4.5703125" style="98" customWidth="1"/>
    <col min="3329" max="3329" width="21.140625" style="98" customWidth="1"/>
    <col min="3330" max="3331" width="4.85546875" style="98" customWidth="1"/>
    <col min="3332" max="3332" width="7.5703125" style="98" customWidth="1"/>
    <col min="3333" max="3333" width="6.28515625" style="98" customWidth="1"/>
    <col min="3334" max="3334" width="6.7109375" style="98" customWidth="1"/>
    <col min="3335" max="3336" width="5.28515625" style="98" customWidth="1"/>
    <col min="3337" max="3337" width="6" style="98" customWidth="1"/>
    <col min="3338" max="3338" width="4.85546875" style="98" customWidth="1"/>
    <col min="3339" max="3339" width="5" style="98" customWidth="1"/>
    <col min="3340" max="3341" width="7.42578125" style="98" customWidth="1"/>
    <col min="3342" max="3345" width="4.85546875" style="98" customWidth="1"/>
    <col min="3346" max="3346" width="6.140625" style="98" customWidth="1"/>
    <col min="3347" max="3347" width="6.7109375" style="98" customWidth="1"/>
    <col min="3348" max="3348" width="5.28515625" style="98" customWidth="1"/>
    <col min="3349" max="3350" width="6.85546875" style="98" customWidth="1"/>
    <col min="3351" max="3583" width="8.85546875" style="98"/>
    <col min="3584" max="3584" width="4.5703125" style="98" customWidth="1"/>
    <col min="3585" max="3585" width="21.140625" style="98" customWidth="1"/>
    <col min="3586" max="3587" width="4.85546875" style="98" customWidth="1"/>
    <col min="3588" max="3588" width="7.5703125" style="98" customWidth="1"/>
    <col min="3589" max="3589" width="6.28515625" style="98" customWidth="1"/>
    <col min="3590" max="3590" width="6.7109375" style="98" customWidth="1"/>
    <col min="3591" max="3592" width="5.28515625" style="98" customWidth="1"/>
    <col min="3593" max="3593" width="6" style="98" customWidth="1"/>
    <col min="3594" max="3594" width="4.85546875" style="98" customWidth="1"/>
    <col min="3595" max="3595" width="5" style="98" customWidth="1"/>
    <col min="3596" max="3597" width="7.42578125" style="98" customWidth="1"/>
    <col min="3598" max="3601" width="4.85546875" style="98" customWidth="1"/>
    <col min="3602" max="3602" width="6.140625" style="98" customWidth="1"/>
    <col min="3603" max="3603" width="6.7109375" style="98" customWidth="1"/>
    <col min="3604" max="3604" width="5.28515625" style="98" customWidth="1"/>
    <col min="3605" max="3606" width="6.85546875" style="98" customWidth="1"/>
    <col min="3607" max="3839" width="8.85546875" style="98"/>
    <col min="3840" max="3840" width="4.5703125" style="98" customWidth="1"/>
    <col min="3841" max="3841" width="21.140625" style="98" customWidth="1"/>
    <col min="3842" max="3843" width="4.85546875" style="98" customWidth="1"/>
    <col min="3844" max="3844" width="7.5703125" style="98" customWidth="1"/>
    <col min="3845" max="3845" width="6.28515625" style="98" customWidth="1"/>
    <col min="3846" max="3846" width="6.7109375" style="98" customWidth="1"/>
    <col min="3847" max="3848" width="5.28515625" style="98" customWidth="1"/>
    <col min="3849" max="3849" width="6" style="98" customWidth="1"/>
    <col min="3850" max="3850" width="4.85546875" style="98" customWidth="1"/>
    <col min="3851" max="3851" width="5" style="98" customWidth="1"/>
    <col min="3852" max="3853" width="7.42578125" style="98" customWidth="1"/>
    <col min="3854" max="3857" width="4.85546875" style="98" customWidth="1"/>
    <col min="3858" max="3858" width="6.140625" style="98" customWidth="1"/>
    <col min="3859" max="3859" width="6.7109375" style="98" customWidth="1"/>
    <col min="3860" max="3860" width="5.28515625" style="98" customWidth="1"/>
    <col min="3861" max="3862" width="6.85546875" style="98" customWidth="1"/>
    <col min="3863" max="4095" width="8.85546875" style="98"/>
    <col min="4096" max="4096" width="4.5703125" style="98" customWidth="1"/>
    <col min="4097" max="4097" width="21.140625" style="98" customWidth="1"/>
    <col min="4098" max="4099" width="4.85546875" style="98" customWidth="1"/>
    <col min="4100" max="4100" width="7.5703125" style="98" customWidth="1"/>
    <col min="4101" max="4101" width="6.28515625" style="98" customWidth="1"/>
    <col min="4102" max="4102" width="6.7109375" style="98" customWidth="1"/>
    <col min="4103" max="4104" width="5.28515625" style="98" customWidth="1"/>
    <col min="4105" max="4105" width="6" style="98" customWidth="1"/>
    <col min="4106" max="4106" width="4.85546875" style="98" customWidth="1"/>
    <col min="4107" max="4107" width="5" style="98" customWidth="1"/>
    <col min="4108" max="4109" width="7.42578125" style="98" customWidth="1"/>
    <col min="4110" max="4113" width="4.85546875" style="98" customWidth="1"/>
    <col min="4114" max="4114" width="6.140625" style="98" customWidth="1"/>
    <col min="4115" max="4115" width="6.7109375" style="98" customWidth="1"/>
    <col min="4116" max="4116" width="5.28515625" style="98" customWidth="1"/>
    <col min="4117" max="4118" width="6.85546875" style="98" customWidth="1"/>
    <col min="4119" max="4351" width="8.85546875" style="98"/>
    <col min="4352" max="4352" width="4.5703125" style="98" customWidth="1"/>
    <col min="4353" max="4353" width="21.140625" style="98" customWidth="1"/>
    <col min="4354" max="4355" width="4.85546875" style="98" customWidth="1"/>
    <col min="4356" max="4356" width="7.5703125" style="98" customWidth="1"/>
    <col min="4357" max="4357" width="6.28515625" style="98" customWidth="1"/>
    <col min="4358" max="4358" width="6.7109375" style="98" customWidth="1"/>
    <col min="4359" max="4360" width="5.28515625" style="98" customWidth="1"/>
    <col min="4361" max="4361" width="6" style="98" customWidth="1"/>
    <col min="4362" max="4362" width="4.85546875" style="98" customWidth="1"/>
    <col min="4363" max="4363" width="5" style="98" customWidth="1"/>
    <col min="4364" max="4365" width="7.42578125" style="98" customWidth="1"/>
    <col min="4366" max="4369" width="4.85546875" style="98" customWidth="1"/>
    <col min="4370" max="4370" width="6.140625" style="98" customWidth="1"/>
    <col min="4371" max="4371" width="6.7109375" style="98" customWidth="1"/>
    <col min="4372" max="4372" width="5.28515625" style="98" customWidth="1"/>
    <col min="4373" max="4374" width="6.85546875" style="98" customWidth="1"/>
    <col min="4375" max="4607" width="8.85546875" style="98"/>
    <col min="4608" max="4608" width="4.5703125" style="98" customWidth="1"/>
    <col min="4609" max="4609" width="21.140625" style="98" customWidth="1"/>
    <col min="4610" max="4611" width="4.85546875" style="98" customWidth="1"/>
    <col min="4612" max="4612" width="7.5703125" style="98" customWidth="1"/>
    <col min="4613" max="4613" width="6.28515625" style="98" customWidth="1"/>
    <col min="4614" max="4614" width="6.7109375" style="98" customWidth="1"/>
    <col min="4615" max="4616" width="5.28515625" style="98" customWidth="1"/>
    <col min="4617" max="4617" width="6" style="98" customWidth="1"/>
    <col min="4618" max="4618" width="4.85546875" style="98" customWidth="1"/>
    <col min="4619" max="4619" width="5" style="98" customWidth="1"/>
    <col min="4620" max="4621" width="7.42578125" style="98" customWidth="1"/>
    <col min="4622" max="4625" width="4.85546875" style="98" customWidth="1"/>
    <col min="4626" max="4626" width="6.140625" style="98" customWidth="1"/>
    <col min="4627" max="4627" width="6.7109375" style="98" customWidth="1"/>
    <col min="4628" max="4628" width="5.28515625" style="98" customWidth="1"/>
    <col min="4629" max="4630" width="6.85546875" style="98" customWidth="1"/>
    <col min="4631" max="4863" width="8.85546875" style="98"/>
    <col min="4864" max="4864" width="4.5703125" style="98" customWidth="1"/>
    <col min="4865" max="4865" width="21.140625" style="98" customWidth="1"/>
    <col min="4866" max="4867" width="4.85546875" style="98" customWidth="1"/>
    <col min="4868" max="4868" width="7.5703125" style="98" customWidth="1"/>
    <col min="4869" max="4869" width="6.28515625" style="98" customWidth="1"/>
    <col min="4870" max="4870" width="6.7109375" style="98" customWidth="1"/>
    <col min="4871" max="4872" width="5.28515625" style="98" customWidth="1"/>
    <col min="4873" max="4873" width="6" style="98" customWidth="1"/>
    <col min="4874" max="4874" width="4.85546875" style="98" customWidth="1"/>
    <col min="4875" max="4875" width="5" style="98" customWidth="1"/>
    <col min="4876" max="4877" width="7.42578125" style="98" customWidth="1"/>
    <col min="4878" max="4881" width="4.85546875" style="98" customWidth="1"/>
    <col min="4882" max="4882" width="6.140625" style="98" customWidth="1"/>
    <col min="4883" max="4883" width="6.7109375" style="98" customWidth="1"/>
    <col min="4884" max="4884" width="5.28515625" style="98" customWidth="1"/>
    <col min="4885" max="4886" width="6.85546875" style="98" customWidth="1"/>
    <col min="4887" max="5119" width="8.85546875" style="98"/>
    <col min="5120" max="5120" width="4.5703125" style="98" customWidth="1"/>
    <col min="5121" max="5121" width="21.140625" style="98" customWidth="1"/>
    <col min="5122" max="5123" width="4.85546875" style="98" customWidth="1"/>
    <col min="5124" max="5124" width="7.5703125" style="98" customWidth="1"/>
    <col min="5125" max="5125" width="6.28515625" style="98" customWidth="1"/>
    <col min="5126" max="5126" width="6.7109375" style="98" customWidth="1"/>
    <col min="5127" max="5128" width="5.28515625" style="98" customWidth="1"/>
    <col min="5129" max="5129" width="6" style="98" customWidth="1"/>
    <col min="5130" max="5130" width="4.85546875" style="98" customWidth="1"/>
    <col min="5131" max="5131" width="5" style="98" customWidth="1"/>
    <col min="5132" max="5133" width="7.42578125" style="98" customWidth="1"/>
    <col min="5134" max="5137" width="4.85546875" style="98" customWidth="1"/>
    <col min="5138" max="5138" width="6.140625" style="98" customWidth="1"/>
    <col min="5139" max="5139" width="6.7109375" style="98" customWidth="1"/>
    <col min="5140" max="5140" width="5.28515625" style="98" customWidth="1"/>
    <col min="5141" max="5142" width="6.85546875" style="98" customWidth="1"/>
    <col min="5143" max="5375" width="8.85546875" style="98"/>
    <col min="5376" max="5376" width="4.5703125" style="98" customWidth="1"/>
    <col min="5377" max="5377" width="21.140625" style="98" customWidth="1"/>
    <col min="5378" max="5379" width="4.85546875" style="98" customWidth="1"/>
    <col min="5380" max="5380" width="7.5703125" style="98" customWidth="1"/>
    <col min="5381" max="5381" width="6.28515625" style="98" customWidth="1"/>
    <col min="5382" max="5382" width="6.7109375" style="98" customWidth="1"/>
    <col min="5383" max="5384" width="5.28515625" style="98" customWidth="1"/>
    <col min="5385" max="5385" width="6" style="98" customWidth="1"/>
    <col min="5386" max="5386" width="4.85546875" style="98" customWidth="1"/>
    <col min="5387" max="5387" width="5" style="98" customWidth="1"/>
    <col min="5388" max="5389" width="7.42578125" style="98" customWidth="1"/>
    <col min="5390" max="5393" width="4.85546875" style="98" customWidth="1"/>
    <col min="5394" max="5394" width="6.140625" style="98" customWidth="1"/>
    <col min="5395" max="5395" width="6.7109375" style="98" customWidth="1"/>
    <col min="5396" max="5396" width="5.28515625" style="98" customWidth="1"/>
    <col min="5397" max="5398" width="6.85546875" style="98" customWidth="1"/>
    <col min="5399" max="5631" width="8.85546875" style="98"/>
    <col min="5632" max="5632" width="4.5703125" style="98" customWidth="1"/>
    <col min="5633" max="5633" width="21.140625" style="98" customWidth="1"/>
    <col min="5634" max="5635" width="4.85546875" style="98" customWidth="1"/>
    <col min="5636" max="5636" width="7.5703125" style="98" customWidth="1"/>
    <col min="5637" max="5637" width="6.28515625" style="98" customWidth="1"/>
    <col min="5638" max="5638" width="6.7109375" style="98" customWidth="1"/>
    <col min="5639" max="5640" width="5.28515625" style="98" customWidth="1"/>
    <col min="5641" max="5641" width="6" style="98" customWidth="1"/>
    <col min="5642" max="5642" width="4.85546875" style="98" customWidth="1"/>
    <col min="5643" max="5643" width="5" style="98" customWidth="1"/>
    <col min="5644" max="5645" width="7.42578125" style="98" customWidth="1"/>
    <col min="5646" max="5649" width="4.85546875" style="98" customWidth="1"/>
    <col min="5650" max="5650" width="6.140625" style="98" customWidth="1"/>
    <col min="5651" max="5651" width="6.7109375" style="98" customWidth="1"/>
    <col min="5652" max="5652" width="5.28515625" style="98" customWidth="1"/>
    <col min="5653" max="5654" width="6.85546875" style="98" customWidth="1"/>
    <col min="5655" max="5887" width="8.85546875" style="98"/>
    <col min="5888" max="5888" width="4.5703125" style="98" customWidth="1"/>
    <col min="5889" max="5889" width="21.140625" style="98" customWidth="1"/>
    <col min="5890" max="5891" width="4.85546875" style="98" customWidth="1"/>
    <col min="5892" max="5892" width="7.5703125" style="98" customWidth="1"/>
    <col min="5893" max="5893" width="6.28515625" style="98" customWidth="1"/>
    <col min="5894" max="5894" width="6.7109375" style="98" customWidth="1"/>
    <col min="5895" max="5896" width="5.28515625" style="98" customWidth="1"/>
    <col min="5897" max="5897" width="6" style="98" customWidth="1"/>
    <col min="5898" max="5898" width="4.85546875" style="98" customWidth="1"/>
    <col min="5899" max="5899" width="5" style="98" customWidth="1"/>
    <col min="5900" max="5901" width="7.42578125" style="98" customWidth="1"/>
    <col min="5902" max="5905" width="4.85546875" style="98" customWidth="1"/>
    <col min="5906" max="5906" width="6.140625" style="98" customWidth="1"/>
    <col min="5907" max="5907" width="6.7109375" style="98" customWidth="1"/>
    <col min="5908" max="5908" width="5.28515625" style="98" customWidth="1"/>
    <col min="5909" max="5910" width="6.85546875" style="98" customWidth="1"/>
    <col min="5911" max="6143" width="8.85546875" style="98"/>
    <col min="6144" max="6144" width="4.5703125" style="98" customWidth="1"/>
    <col min="6145" max="6145" width="21.140625" style="98" customWidth="1"/>
    <col min="6146" max="6147" width="4.85546875" style="98" customWidth="1"/>
    <col min="6148" max="6148" width="7.5703125" style="98" customWidth="1"/>
    <col min="6149" max="6149" width="6.28515625" style="98" customWidth="1"/>
    <col min="6150" max="6150" width="6.7109375" style="98" customWidth="1"/>
    <col min="6151" max="6152" width="5.28515625" style="98" customWidth="1"/>
    <col min="6153" max="6153" width="6" style="98" customWidth="1"/>
    <col min="6154" max="6154" width="4.85546875" style="98" customWidth="1"/>
    <col min="6155" max="6155" width="5" style="98" customWidth="1"/>
    <col min="6156" max="6157" width="7.42578125" style="98" customWidth="1"/>
    <col min="6158" max="6161" width="4.85546875" style="98" customWidth="1"/>
    <col min="6162" max="6162" width="6.140625" style="98" customWidth="1"/>
    <col min="6163" max="6163" width="6.7109375" style="98" customWidth="1"/>
    <col min="6164" max="6164" width="5.28515625" style="98" customWidth="1"/>
    <col min="6165" max="6166" width="6.85546875" style="98" customWidth="1"/>
    <col min="6167" max="6399" width="8.85546875" style="98"/>
    <col min="6400" max="6400" width="4.5703125" style="98" customWidth="1"/>
    <col min="6401" max="6401" width="21.140625" style="98" customWidth="1"/>
    <col min="6402" max="6403" width="4.85546875" style="98" customWidth="1"/>
    <col min="6404" max="6404" width="7.5703125" style="98" customWidth="1"/>
    <col min="6405" max="6405" width="6.28515625" style="98" customWidth="1"/>
    <col min="6406" max="6406" width="6.7109375" style="98" customWidth="1"/>
    <col min="6407" max="6408" width="5.28515625" style="98" customWidth="1"/>
    <col min="6409" max="6409" width="6" style="98" customWidth="1"/>
    <col min="6410" max="6410" width="4.85546875" style="98" customWidth="1"/>
    <col min="6411" max="6411" width="5" style="98" customWidth="1"/>
    <col min="6412" max="6413" width="7.42578125" style="98" customWidth="1"/>
    <col min="6414" max="6417" width="4.85546875" style="98" customWidth="1"/>
    <col min="6418" max="6418" width="6.140625" style="98" customWidth="1"/>
    <col min="6419" max="6419" width="6.7109375" style="98" customWidth="1"/>
    <col min="6420" max="6420" width="5.28515625" style="98" customWidth="1"/>
    <col min="6421" max="6422" width="6.85546875" style="98" customWidth="1"/>
    <col min="6423" max="6655" width="8.85546875" style="98"/>
    <col min="6656" max="6656" width="4.5703125" style="98" customWidth="1"/>
    <col min="6657" max="6657" width="21.140625" style="98" customWidth="1"/>
    <col min="6658" max="6659" width="4.85546875" style="98" customWidth="1"/>
    <col min="6660" max="6660" width="7.5703125" style="98" customWidth="1"/>
    <col min="6661" max="6661" width="6.28515625" style="98" customWidth="1"/>
    <col min="6662" max="6662" width="6.7109375" style="98" customWidth="1"/>
    <col min="6663" max="6664" width="5.28515625" style="98" customWidth="1"/>
    <col min="6665" max="6665" width="6" style="98" customWidth="1"/>
    <col min="6666" max="6666" width="4.85546875" style="98" customWidth="1"/>
    <col min="6667" max="6667" width="5" style="98" customWidth="1"/>
    <col min="6668" max="6669" width="7.42578125" style="98" customWidth="1"/>
    <col min="6670" max="6673" width="4.85546875" style="98" customWidth="1"/>
    <col min="6674" max="6674" width="6.140625" style="98" customWidth="1"/>
    <col min="6675" max="6675" width="6.7109375" style="98" customWidth="1"/>
    <col min="6676" max="6676" width="5.28515625" style="98" customWidth="1"/>
    <col min="6677" max="6678" width="6.85546875" style="98" customWidth="1"/>
    <col min="6679" max="6911" width="8.85546875" style="98"/>
    <col min="6912" max="6912" width="4.5703125" style="98" customWidth="1"/>
    <col min="6913" max="6913" width="21.140625" style="98" customWidth="1"/>
    <col min="6914" max="6915" width="4.85546875" style="98" customWidth="1"/>
    <col min="6916" max="6916" width="7.5703125" style="98" customWidth="1"/>
    <col min="6917" max="6917" width="6.28515625" style="98" customWidth="1"/>
    <col min="6918" max="6918" width="6.7109375" style="98" customWidth="1"/>
    <col min="6919" max="6920" width="5.28515625" style="98" customWidth="1"/>
    <col min="6921" max="6921" width="6" style="98" customWidth="1"/>
    <col min="6922" max="6922" width="4.85546875" style="98" customWidth="1"/>
    <col min="6923" max="6923" width="5" style="98" customWidth="1"/>
    <col min="6924" max="6925" width="7.42578125" style="98" customWidth="1"/>
    <col min="6926" max="6929" width="4.85546875" style="98" customWidth="1"/>
    <col min="6930" max="6930" width="6.140625" style="98" customWidth="1"/>
    <col min="6931" max="6931" width="6.7109375" style="98" customWidth="1"/>
    <col min="6932" max="6932" width="5.28515625" style="98" customWidth="1"/>
    <col min="6933" max="6934" width="6.85546875" style="98" customWidth="1"/>
    <col min="6935" max="7167" width="8.85546875" style="98"/>
    <col min="7168" max="7168" width="4.5703125" style="98" customWidth="1"/>
    <col min="7169" max="7169" width="21.140625" style="98" customWidth="1"/>
    <col min="7170" max="7171" width="4.85546875" style="98" customWidth="1"/>
    <col min="7172" max="7172" width="7.5703125" style="98" customWidth="1"/>
    <col min="7173" max="7173" width="6.28515625" style="98" customWidth="1"/>
    <col min="7174" max="7174" width="6.7109375" style="98" customWidth="1"/>
    <col min="7175" max="7176" width="5.28515625" style="98" customWidth="1"/>
    <col min="7177" max="7177" width="6" style="98" customWidth="1"/>
    <col min="7178" max="7178" width="4.85546875" style="98" customWidth="1"/>
    <col min="7179" max="7179" width="5" style="98" customWidth="1"/>
    <col min="7180" max="7181" width="7.42578125" style="98" customWidth="1"/>
    <col min="7182" max="7185" width="4.85546875" style="98" customWidth="1"/>
    <col min="7186" max="7186" width="6.140625" style="98" customWidth="1"/>
    <col min="7187" max="7187" width="6.7109375" style="98" customWidth="1"/>
    <col min="7188" max="7188" width="5.28515625" style="98" customWidth="1"/>
    <col min="7189" max="7190" width="6.85546875" style="98" customWidth="1"/>
    <col min="7191" max="7423" width="8.85546875" style="98"/>
    <col min="7424" max="7424" width="4.5703125" style="98" customWidth="1"/>
    <col min="7425" max="7425" width="21.140625" style="98" customWidth="1"/>
    <col min="7426" max="7427" width="4.85546875" style="98" customWidth="1"/>
    <col min="7428" max="7428" width="7.5703125" style="98" customWidth="1"/>
    <col min="7429" max="7429" width="6.28515625" style="98" customWidth="1"/>
    <col min="7430" max="7430" width="6.7109375" style="98" customWidth="1"/>
    <col min="7431" max="7432" width="5.28515625" style="98" customWidth="1"/>
    <col min="7433" max="7433" width="6" style="98" customWidth="1"/>
    <col min="7434" max="7434" width="4.85546875" style="98" customWidth="1"/>
    <col min="7435" max="7435" width="5" style="98" customWidth="1"/>
    <col min="7436" max="7437" width="7.42578125" style="98" customWidth="1"/>
    <col min="7438" max="7441" width="4.85546875" style="98" customWidth="1"/>
    <col min="7442" max="7442" width="6.140625" style="98" customWidth="1"/>
    <col min="7443" max="7443" width="6.7109375" style="98" customWidth="1"/>
    <col min="7444" max="7444" width="5.28515625" style="98" customWidth="1"/>
    <col min="7445" max="7446" width="6.85546875" style="98" customWidth="1"/>
    <col min="7447" max="7679" width="8.85546875" style="98"/>
    <col min="7680" max="7680" width="4.5703125" style="98" customWidth="1"/>
    <col min="7681" max="7681" width="21.140625" style="98" customWidth="1"/>
    <col min="7682" max="7683" width="4.85546875" style="98" customWidth="1"/>
    <col min="7684" max="7684" width="7.5703125" style="98" customWidth="1"/>
    <col min="7685" max="7685" width="6.28515625" style="98" customWidth="1"/>
    <col min="7686" max="7686" width="6.7109375" style="98" customWidth="1"/>
    <col min="7687" max="7688" width="5.28515625" style="98" customWidth="1"/>
    <col min="7689" max="7689" width="6" style="98" customWidth="1"/>
    <col min="7690" max="7690" width="4.85546875" style="98" customWidth="1"/>
    <col min="7691" max="7691" width="5" style="98" customWidth="1"/>
    <col min="7692" max="7693" width="7.42578125" style="98" customWidth="1"/>
    <col min="7694" max="7697" width="4.85546875" style="98" customWidth="1"/>
    <col min="7698" max="7698" width="6.140625" style="98" customWidth="1"/>
    <col min="7699" max="7699" width="6.7109375" style="98" customWidth="1"/>
    <col min="7700" max="7700" width="5.28515625" style="98" customWidth="1"/>
    <col min="7701" max="7702" width="6.85546875" style="98" customWidth="1"/>
    <col min="7703" max="7935" width="8.85546875" style="98"/>
    <col min="7936" max="7936" width="4.5703125" style="98" customWidth="1"/>
    <col min="7937" max="7937" width="21.140625" style="98" customWidth="1"/>
    <col min="7938" max="7939" width="4.85546875" style="98" customWidth="1"/>
    <col min="7940" max="7940" width="7.5703125" style="98" customWidth="1"/>
    <col min="7941" max="7941" width="6.28515625" style="98" customWidth="1"/>
    <col min="7942" max="7942" width="6.7109375" style="98" customWidth="1"/>
    <col min="7943" max="7944" width="5.28515625" style="98" customWidth="1"/>
    <col min="7945" max="7945" width="6" style="98" customWidth="1"/>
    <col min="7946" max="7946" width="4.85546875" style="98" customWidth="1"/>
    <col min="7947" max="7947" width="5" style="98" customWidth="1"/>
    <col min="7948" max="7949" width="7.42578125" style="98" customWidth="1"/>
    <col min="7950" max="7953" width="4.85546875" style="98" customWidth="1"/>
    <col min="7954" max="7954" width="6.140625" style="98" customWidth="1"/>
    <col min="7955" max="7955" width="6.7109375" style="98" customWidth="1"/>
    <col min="7956" max="7956" width="5.28515625" style="98" customWidth="1"/>
    <col min="7957" max="7958" width="6.85546875" style="98" customWidth="1"/>
    <col min="7959" max="8191" width="8.85546875" style="98"/>
    <col min="8192" max="8192" width="4.5703125" style="98" customWidth="1"/>
    <col min="8193" max="8193" width="21.140625" style="98" customWidth="1"/>
    <col min="8194" max="8195" width="4.85546875" style="98" customWidth="1"/>
    <col min="8196" max="8196" width="7.5703125" style="98" customWidth="1"/>
    <col min="8197" max="8197" width="6.28515625" style="98" customWidth="1"/>
    <col min="8198" max="8198" width="6.7109375" style="98" customWidth="1"/>
    <col min="8199" max="8200" width="5.28515625" style="98" customWidth="1"/>
    <col min="8201" max="8201" width="6" style="98" customWidth="1"/>
    <col min="8202" max="8202" width="4.85546875" style="98" customWidth="1"/>
    <col min="8203" max="8203" width="5" style="98" customWidth="1"/>
    <col min="8204" max="8205" width="7.42578125" style="98" customWidth="1"/>
    <col min="8206" max="8209" width="4.85546875" style="98" customWidth="1"/>
    <col min="8210" max="8210" width="6.140625" style="98" customWidth="1"/>
    <col min="8211" max="8211" width="6.7109375" style="98" customWidth="1"/>
    <col min="8212" max="8212" width="5.28515625" style="98" customWidth="1"/>
    <col min="8213" max="8214" width="6.85546875" style="98" customWidth="1"/>
    <col min="8215" max="8447" width="8.85546875" style="98"/>
    <col min="8448" max="8448" width="4.5703125" style="98" customWidth="1"/>
    <col min="8449" max="8449" width="21.140625" style="98" customWidth="1"/>
    <col min="8450" max="8451" width="4.85546875" style="98" customWidth="1"/>
    <col min="8452" max="8452" width="7.5703125" style="98" customWidth="1"/>
    <col min="8453" max="8453" width="6.28515625" style="98" customWidth="1"/>
    <col min="8454" max="8454" width="6.7109375" style="98" customWidth="1"/>
    <col min="8455" max="8456" width="5.28515625" style="98" customWidth="1"/>
    <col min="8457" max="8457" width="6" style="98" customWidth="1"/>
    <col min="8458" max="8458" width="4.85546875" style="98" customWidth="1"/>
    <col min="8459" max="8459" width="5" style="98" customWidth="1"/>
    <col min="8460" max="8461" width="7.42578125" style="98" customWidth="1"/>
    <col min="8462" max="8465" width="4.85546875" style="98" customWidth="1"/>
    <col min="8466" max="8466" width="6.140625" style="98" customWidth="1"/>
    <col min="8467" max="8467" width="6.7109375" style="98" customWidth="1"/>
    <col min="8468" max="8468" width="5.28515625" style="98" customWidth="1"/>
    <col min="8469" max="8470" width="6.85546875" style="98" customWidth="1"/>
    <col min="8471" max="8703" width="8.85546875" style="98"/>
    <col min="8704" max="8704" width="4.5703125" style="98" customWidth="1"/>
    <col min="8705" max="8705" width="21.140625" style="98" customWidth="1"/>
    <col min="8706" max="8707" width="4.85546875" style="98" customWidth="1"/>
    <col min="8708" max="8708" width="7.5703125" style="98" customWidth="1"/>
    <col min="8709" max="8709" width="6.28515625" style="98" customWidth="1"/>
    <col min="8710" max="8710" width="6.7109375" style="98" customWidth="1"/>
    <col min="8711" max="8712" width="5.28515625" style="98" customWidth="1"/>
    <col min="8713" max="8713" width="6" style="98" customWidth="1"/>
    <col min="8714" max="8714" width="4.85546875" style="98" customWidth="1"/>
    <col min="8715" max="8715" width="5" style="98" customWidth="1"/>
    <col min="8716" max="8717" width="7.42578125" style="98" customWidth="1"/>
    <col min="8718" max="8721" width="4.85546875" style="98" customWidth="1"/>
    <col min="8722" max="8722" width="6.140625" style="98" customWidth="1"/>
    <col min="8723" max="8723" width="6.7109375" style="98" customWidth="1"/>
    <col min="8724" max="8724" width="5.28515625" style="98" customWidth="1"/>
    <col min="8725" max="8726" width="6.85546875" style="98" customWidth="1"/>
    <col min="8727" max="8959" width="8.85546875" style="98"/>
    <col min="8960" max="8960" width="4.5703125" style="98" customWidth="1"/>
    <col min="8961" max="8961" width="21.140625" style="98" customWidth="1"/>
    <col min="8962" max="8963" width="4.85546875" style="98" customWidth="1"/>
    <col min="8964" max="8964" width="7.5703125" style="98" customWidth="1"/>
    <col min="8965" max="8965" width="6.28515625" style="98" customWidth="1"/>
    <col min="8966" max="8966" width="6.7109375" style="98" customWidth="1"/>
    <col min="8967" max="8968" width="5.28515625" style="98" customWidth="1"/>
    <col min="8969" max="8969" width="6" style="98" customWidth="1"/>
    <col min="8970" max="8970" width="4.85546875" style="98" customWidth="1"/>
    <col min="8971" max="8971" width="5" style="98" customWidth="1"/>
    <col min="8972" max="8973" width="7.42578125" style="98" customWidth="1"/>
    <col min="8974" max="8977" width="4.85546875" style="98" customWidth="1"/>
    <col min="8978" max="8978" width="6.140625" style="98" customWidth="1"/>
    <col min="8979" max="8979" width="6.7109375" style="98" customWidth="1"/>
    <col min="8980" max="8980" width="5.28515625" style="98" customWidth="1"/>
    <col min="8981" max="8982" width="6.85546875" style="98" customWidth="1"/>
    <col min="8983" max="9215" width="8.85546875" style="98"/>
    <col min="9216" max="9216" width="4.5703125" style="98" customWidth="1"/>
    <col min="9217" max="9217" width="21.140625" style="98" customWidth="1"/>
    <col min="9218" max="9219" width="4.85546875" style="98" customWidth="1"/>
    <col min="9220" max="9220" width="7.5703125" style="98" customWidth="1"/>
    <col min="9221" max="9221" width="6.28515625" style="98" customWidth="1"/>
    <col min="9222" max="9222" width="6.7109375" style="98" customWidth="1"/>
    <col min="9223" max="9224" width="5.28515625" style="98" customWidth="1"/>
    <col min="9225" max="9225" width="6" style="98" customWidth="1"/>
    <col min="9226" max="9226" width="4.85546875" style="98" customWidth="1"/>
    <col min="9227" max="9227" width="5" style="98" customWidth="1"/>
    <col min="9228" max="9229" width="7.42578125" style="98" customWidth="1"/>
    <col min="9230" max="9233" width="4.85546875" style="98" customWidth="1"/>
    <col min="9234" max="9234" width="6.140625" style="98" customWidth="1"/>
    <col min="9235" max="9235" width="6.7109375" style="98" customWidth="1"/>
    <col min="9236" max="9236" width="5.28515625" style="98" customWidth="1"/>
    <col min="9237" max="9238" width="6.85546875" style="98" customWidth="1"/>
    <col min="9239" max="9471" width="8.85546875" style="98"/>
    <col min="9472" max="9472" width="4.5703125" style="98" customWidth="1"/>
    <col min="9473" max="9473" width="21.140625" style="98" customWidth="1"/>
    <col min="9474" max="9475" width="4.85546875" style="98" customWidth="1"/>
    <col min="9476" max="9476" width="7.5703125" style="98" customWidth="1"/>
    <col min="9477" max="9477" width="6.28515625" style="98" customWidth="1"/>
    <col min="9478" max="9478" width="6.7109375" style="98" customWidth="1"/>
    <col min="9479" max="9480" width="5.28515625" style="98" customWidth="1"/>
    <col min="9481" max="9481" width="6" style="98" customWidth="1"/>
    <col min="9482" max="9482" width="4.85546875" style="98" customWidth="1"/>
    <col min="9483" max="9483" width="5" style="98" customWidth="1"/>
    <col min="9484" max="9485" width="7.42578125" style="98" customWidth="1"/>
    <col min="9486" max="9489" width="4.85546875" style="98" customWidth="1"/>
    <col min="9490" max="9490" width="6.140625" style="98" customWidth="1"/>
    <col min="9491" max="9491" width="6.7109375" style="98" customWidth="1"/>
    <col min="9492" max="9492" width="5.28515625" style="98" customWidth="1"/>
    <col min="9493" max="9494" width="6.85546875" style="98" customWidth="1"/>
    <col min="9495" max="9727" width="8.85546875" style="98"/>
    <col min="9728" max="9728" width="4.5703125" style="98" customWidth="1"/>
    <col min="9729" max="9729" width="21.140625" style="98" customWidth="1"/>
    <col min="9730" max="9731" width="4.85546875" style="98" customWidth="1"/>
    <col min="9732" max="9732" width="7.5703125" style="98" customWidth="1"/>
    <col min="9733" max="9733" width="6.28515625" style="98" customWidth="1"/>
    <col min="9734" max="9734" width="6.7109375" style="98" customWidth="1"/>
    <col min="9735" max="9736" width="5.28515625" style="98" customWidth="1"/>
    <col min="9737" max="9737" width="6" style="98" customWidth="1"/>
    <col min="9738" max="9738" width="4.85546875" style="98" customWidth="1"/>
    <col min="9739" max="9739" width="5" style="98" customWidth="1"/>
    <col min="9740" max="9741" width="7.42578125" style="98" customWidth="1"/>
    <col min="9742" max="9745" width="4.85546875" style="98" customWidth="1"/>
    <col min="9746" max="9746" width="6.140625" style="98" customWidth="1"/>
    <col min="9747" max="9747" width="6.7109375" style="98" customWidth="1"/>
    <col min="9748" max="9748" width="5.28515625" style="98" customWidth="1"/>
    <col min="9749" max="9750" width="6.85546875" style="98" customWidth="1"/>
    <col min="9751" max="9983" width="8.85546875" style="98"/>
    <col min="9984" max="9984" width="4.5703125" style="98" customWidth="1"/>
    <col min="9985" max="9985" width="21.140625" style="98" customWidth="1"/>
    <col min="9986" max="9987" width="4.85546875" style="98" customWidth="1"/>
    <col min="9988" max="9988" width="7.5703125" style="98" customWidth="1"/>
    <col min="9989" max="9989" width="6.28515625" style="98" customWidth="1"/>
    <col min="9990" max="9990" width="6.7109375" style="98" customWidth="1"/>
    <col min="9991" max="9992" width="5.28515625" style="98" customWidth="1"/>
    <col min="9993" max="9993" width="6" style="98" customWidth="1"/>
    <col min="9994" max="9994" width="4.85546875" style="98" customWidth="1"/>
    <col min="9995" max="9995" width="5" style="98" customWidth="1"/>
    <col min="9996" max="9997" width="7.42578125" style="98" customWidth="1"/>
    <col min="9998" max="10001" width="4.85546875" style="98" customWidth="1"/>
    <col min="10002" max="10002" width="6.140625" style="98" customWidth="1"/>
    <col min="10003" max="10003" width="6.7109375" style="98" customWidth="1"/>
    <col min="10004" max="10004" width="5.28515625" style="98" customWidth="1"/>
    <col min="10005" max="10006" width="6.85546875" style="98" customWidth="1"/>
    <col min="10007" max="10239" width="8.85546875" style="98"/>
    <col min="10240" max="10240" width="4.5703125" style="98" customWidth="1"/>
    <col min="10241" max="10241" width="21.140625" style="98" customWidth="1"/>
    <col min="10242" max="10243" width="4.85546875" style="98" customWidth="1"/>
    <col min="10244" max="10244" width="7.5703125" style="98" customWidth="1"/>
    <col min="10245" max="10245" width="6.28515625" style="98" customWidth="1"/>
    <col min="10246" max="10246" width="6.7109375" style="98" customWidth="1"/>
    <col min="10247" max="10248" width="5.28515625" style="98" customWidth="1"/>
    <col min="10249" max="10249" width="6" style="98" customWidth="1"/>
    <col min="10250" max="10250" width="4.85546875" style="98" customWidth="1"/>
    <col min="10251" max="10251" width="5" style="98" customWidth="1"/>
    <col min="10252" max="10253" width="7.42578125" style="98" customWidth="1"/>
    <col min="10254" max="10257" width="4.85546875" style="98" customWidth="1"/>
    <col min="10258" max="10258" width="6.140625" style="98" customWidth="1"/>
    <col min="10259" max="10259" width="6.7109375" style="98" customWidth="1"/>
    <col min="10260" max="10260" width="5.28515625" style="98" customWidth="1"/>
    <col min="10261" max="10262" width="6.85546875" style="98" customWidth="1"/>
    <col min="10263" max="10495" width="8.85546875" style="98"/>
    <col min="10496" max="10496" width="4.5703125" style="98" customWidth="1"/>
    <col min="10497" max="10497" width="21.140625" style="98" customWidth="1"/>
    <col min="10498" max="10499" width="4.85546875" style="98" customWidth="1"/>
    <col min="10500" max="10500" width="7.5703125" style="98" customWidth="1"/>
    <col min="10501" max="10501" width="6.28515625" style="98" customWidth="1"/>
    <col min="10502" max="10502" width="6.7109375" style="98" customWidth="1"/>
    <col min="10503" max="10504" width="5.28515625" style="98" customWidth="1"/>
    <col min="10505" max="10505" width="6" style="98" customWidth="1"/>
    <col min="10506" max="10506" width="4.85546875" style="98" customWidth="1"/>
    <col min="10507" max="10507" width="5" style="98" customWidth="1"/>
    <col min="10508" max="10509" width="7.42578125" style="98" customWidth="1"/>
    <col min="10510" max="10513" width="4.85546875" style="98" customWidth="1"/>
    <col min="10514" max="10514" width="6.140625" style="98" customWidth="1"/>
    <col min="10515" max="10515" width="6.7109375" style="98" customWidth="1"/>
    <col min="10516" max="10516" width="5.28515625" style="98" customWidth="1"/>
    <col min="10517" max="10518" width="6.85546875" style="98" customWidth="1"/>
    <col min="10519" max="10751" width="8.85546875" style="98"/>
    <col min="10752" max="10752" width="4.5703125" style="98" customWidth="1"/>
    <col min="10753" max="10753" width="21.140625" style="98" customWidth="1"/>
    <col min="10754" max="10755" width="4.85546875" style="98" customWidth="1"/>
    <col min="10756" max="10756" width="7.5703125" style="98" customWidth="1"/>
    <col min="10757" max="10757" width="6.28515625" style="98" customWidth="1"/>
    <col min="10758" max="10758" width="6.7109375" style="98" customWidth="1"/>
    <col min="10759" max="10760" width="5.28515625" style="98" customWidth="1"/>
    <col min="10761" max="10761" width="6" style="98" customWidth="1"/>
    <col min="10762" max="10762" width="4.85546875" style="98" customWidth="1"/>
    <col min="10763" max="10763" width="5" style="98" customWidth="1"/>
    <col min="10764" max="10765" width="7.42578125" style="98" customWidth="1"/>
    <col min="10766" max="10769" width="4.85546875" style="98" customWidth="1"/>
    <col min="10770" max="10770" width="6.140625" style="98" customWidth="1"/>
    <col min="10771" max="10771" width="6.7109375" style="98" customWidth="1"/>
    <col min="10772" max="10772" width="5.28515625" style="98" customWidth="1"/>
    <col min="10773" max="10774" width="6.85546875" style="98" customWidth="1"/>
    <col min="10775" max="11007" width="8.85546875" style="98"/>
    <col min="11008" max="11008" width="4.5703125" style="98" customWidth="1"/>
    <col min="11009" max="11009" width="21.140625" style="98" customWidth="1"/>
    <col min="11010" max="11011" width="4.85546875" style="98" customWidth="1"/>
    <col min="11012" max="11012" width="7.5703125" style="98" customWidth="1"/>
    <col min="11013" max="11013" width="6.28515625" style="98" customWidth="1"/>
    <col min="11014" max="11014" width="6.7109375" style="98" customWidth="1"/>
    <col min="11015" max="11016" width="5.28515625" style="98" customWidth="1"/>
    <col min="11017" max="11017" width="6" style="98" customWidth="1"/>
    <col min="11018" max="11018" width="4.85546875" style="98" customWidth="1"/>
    <col min="11019" max="11019" width="5" style="98" customWidth="1"/>
    <col min="11020" max="11021" width="7.42578125" style="98" customWidth="1"/>
    <col min="11022" max="11025" width="4.85546875" style="98" customWidth="1"/>
    <col min="11026" max="11026" width="6.140625" style="98" customWidth="1"/>
    <col min="11027" max="11027" width="6.7109375" style="98" customWidth="1"/>
    <col min="11028" max="11028" width="5.28515625" style="98" customWidth="1"/>
    <col min="11029" max="11030" width="6.85546875" style="98" customWidth="1"/>
    <col min="11031" max="11263" width="8.85546875" style="98"/>
    <col min="11264" max="11264" width="4.5703125" style="98" customWidth="1"/>
    <col min="11265" max="11265" width="21.140625" style="98" customWidth="1"/>
    <col min="11266" max="11267" width="4.85546875" style="98" customWidth="1"/>
    <col min="11268" max="11268" width="7.5703125" style="98" customWidth="1"/>
    <col min="11269" max="11269" width="6.28515625" style="98" customWidth="1"/>
    <col min="11270" max="11270" width="6.7109375" style="98" customWidth="1"/>
    <col min="11271" max="11272" width="5.28515625" style="98" customWidth="1"/>
    <col min="11273" max="11273" width="6" style="98" customWidth="1"/>
    <col min="11274" max="11274" width="4.85546875" style="98" customWidth="1"/>
    <col min="11275" max="11275" width="5" style="98" customWidth="1"/>
    <col min="11276" max="11277" width="7.42578125" style="98" customWidth="1"/>
    <col min="11278" max="11281" width="4.85546875" style="98" customWidth="1"/>
    <col min="11282" max="11282" width="6.140625" style="98" customWidth="1"/>
    <col min="11283" max="11283" width="6.7109375" style="98" customWidth="1"/>
    <col min="11284" max="11284" width="5.28515625" style="98" customWidth="1"/>
    <col min="11285" max="11286" width="6.85546875" style="98" customWidth="1"/>
    <col min="11287" max="11519" width="8.85546875" style="98"/>
    <col min="11520" max="11520" width="4.5703125" style="98" customWidth="1"/>
    <col min="11521" max="11521" width="21.140625" style="98" customWidth="1"/>
    <col min="11522" max="11523" width="4.85546875" style="98" customWidth="1"/>
    <col min="11524" max="11524" width="7.5703125" style="98" customWidth="1"/>
    <col min="11525" max="11525" width="6.28515625" style="98" customWidth="1"/>
    <col min="11526" max="11526" width="6.7109375" style="98" customWidth="1"/>
    <col min="11527" max="11528" width="5.28515625" style="98" customWidth="1"/>
    <col min="11529" max="11529" width="6" style="98" customWidth="1"/>
    <col min="11530" max="11530" width="4.85546875" style="98" customWidth="1"/>
    <col min="11531" max="11531" width="5" style="98" customWidth="1"/>
    <col min="11532" max="11533" width="7.42578125" style="98" customWidth="1"/>
    <col min="11534" max="11537" width="4.85546875" style="98" customWidth="1"/>
    <col min="11538" max="11538" width="6.140625" style="98" customWidth="1"/>
    <col min="11539" max="11539" width="6.7109375" style="98" customWidth="1"/>
    <col min="11540" max="11540" width="5.28515625" style="98" customWidth="1"/>
    <col min="11541" max="11542" width="6.85546875" style="98" customWidth="1"/>
    <col min="11543" max="11775" width="8.85546875" style="98"/>
    <col min="11776" max="11776" width="4.5703125" style="98" customWidth="1"/>
    <col min="11777" max="11777" width="21.140625" style="98" customWidth="1"/>
    <col min="11778" max="11779" width="4.85546875" style="98" customWidth="1"/>
    <col min="11780" max="11780" width="7.5703125" style="98" customWidth="1"/>
    <col min="11781" max="11781" width="6.28515625" style="98" customWidth="1"/>
    <col min="11782" max="11782" width="6.7109375" style="98" customWidth="1"/>
    <col min="11783" max="11784" width="5.28515625" style="98" customWidth="1"/>
    <col min="11785" max="11785" width="6" style="98" customWidth="1"/>
    <col min="11786" max="11786" width="4.85546875" style="98" customWidth="1"/>
    <col min="11787" max="11787" width="5" style="98" customWidth="1"/>
    <col min="11788" max="11789" width="7.42578125" style="98" customWidth="1"/>
    <col min="11790" max="11793" width="4.85546875" style="98" customWidth="1"/>
    <col min="11794" max="11794" width="6.140625" style="98" customWidth="1"/>
    <col min="11795" max="11795" width="6.7109375" style="98" customWidth="1"/>
    <col min="11796" max="11796" width="5.28515625" style="98" customWidth="1"/>
    <col min="11797" max="11798" width="6.85546875" style="98" customWidth="1"/>
    <col min="11799" max="12031" width="8.85546875" style="98"/>
    <col min="12032" max="12032" width="4.5703125" style="98" customWidth="1"/>
    <col min="12033" max="12033" width="21.140625" style="98" customWidth="1"/>
    <col min="12034" max="12035" width="4.85546875" style="98" customWidth="1"/>
    <col min="12036" max="12036" width="7.5703125" style="98" customWidth="1"/>
    <col min="12037" max="12037" width="6.28515625" style="98" customWidth="1"/>
    <col min="12038" max="12038" width="6.7109375" style="98" customWidth="1"/>
    <col min="12039" max="12040" width="5.28515625" style="98" customWidth="1"/>
    <col min="12041" max="12041" width="6" style="98" customWidth="1"/>
    <col min="12042" max="12042" width="4.85546875" style="98" customWidth="1"/>
    <col min="12043" max="12043" width="5" style="98" customWidth="1"/>
    <col min="12044" max="12045" width="7.42578125" style="98" customWidth="1"/>
    <col min="12046" max="12049" width="4.85546875" style="98" customWidth="1"/>
    <col min="12050" max="12050" width="6.140625" style="98" customWidth="1"/>
    <col min="12051" max="12051" width="6.7109375" style="98" customWidth="1"/>
    <col min="12052" max="12052" width="5.28515625" style="98" customWidth="1"/>
    <col min="12053" max="12054" width="6.85546875" style="98" customWidth="1"/>
    <col min="12055" max="12287" width="8.85546875" style="98"/>
    <col min="12288" max="12288" width="4.5703125" style="98" customWidth="1"/>
    <col min="12289" max="12289" width="21.140625" style="98" customWidth="1"/>
    <col min="12290" max="12291" width="4.85546875" style="98" customWidth="1"/>
    <col min="12292" max="12292" width="7.5703125" style="98" customWidth="1"/>
    <col min="12293" max="12293" width="6.28515625" style="98" customWidth="1"/>
    <col min="12294" max="12294" width="6.7109375" style="98" customWidth="1"/>
    <col min="12295" max="12296" width="5.28515625" style="98" customWidth="1"/>
    <col min="12297" max="12297" width="6" style="98" customWidth="1"/>
    <col min="12298" max="12298" width="4.85546875" style="98" customWidth="1"/>
    <col min="12299" max="12299" width="5" style="98" customWidth="1"/>
    <col min="12300" max="12301" width="7.42578125" style="98" customWidth="1"/>
    <col min="12302" max="12305" width="4.85546875" style="98" customWidth="1"/>
    <col min="12306" max="12306" width="6.140625" style="98" customWidth="1"/>
    <col min="12307" max="12307" width="6.7109375" style="98" customWidth="1"/>
    <col min="12308" max="12308" width="5.28515625" style="98" customWidth="1"/>
    <col min="12309" max="12310" width="6.85546875" style="98" customWidth="1"/>
    <col min="12311" max="12543" width="8.85546875" style="98"/>
    <col min="12544" max="12544" width="4.5703125" style="98" customWidth="1"/>
    <col min="12545" max="12545" width="21.140625" style="98" customWidth="1"/>
    <col min="12546" max="12547" width="4.85546875" style="98" customWidth="1"/>
    <col min="12548" max="12548" width="7.5703125" style="98" customWidth="1"/>
    <col min="12549" max="12549" width="6.28515625" style="98" customWidth="1"/>
    <col min="12550" max="12550" width="6.7109375" style="98" customWidth="1"/>
    <col min="12551" max="12552" width="5.28515625" style="98" customWidth="1"/>
    <col min="12553" max="12553" width="6" style="98" customWidth="1"/>
    <col min="12554" max="12554" width="4.85546875" style="98" customWidth="1"/>
    <col min="12555" max="12555" width="5" style="98" customWidth="1"/>
    <col min="12556" max="12557" width="7.42578125" style="98" customWidth="1"/>
    <col min="12558" max="12561" width="4.85546875" style="98" customWidth="1"/>
    <col min="12562" max="12562" width="6.140625" style="98" customWidth="1"/>
    <col min="12563" max="12563" width="6.7109375" style="98" customWidth="1"/>
    <col min="12564" max="12564" width="5.28515625" style="98" customWidth="1"/>
    <col min="12565" max="12566" width="6.85546875" style="98" customWidth="1"/>
    <col min="12567" max="12799" width="8.85546875" style="98"/>
    <col min="12800" max="12800" width="4.5703125" style="98" customWidth="1"/>
    <col min="12801" max="12801" width="21.140625" style="98" customWidth="1"/>
    <col min="12802" max="12803" width="4.85546875" style="98" customWidth="1"/>
    <col min="12804" max="12804" width="7.5703125" style="98" customWidth="1"/>
    <col min="12805" max="12805" width="6.28515625" style="98" customWidth="1"/>
    <col min="12806" max="12806" width="6.7109375" style="98" customWidth="1"/>
    <col min="12807" max="12808" width="5.28515625" style="98" customWidth="1"/>
    <col min="12809" max="12809" width="6" style="98" customWidth="1"/>
    <col min="12810" max="12810" width="4.85546875" style="98" customWidth="1"/>
    <col min="12811" max="12811" width="5" style="98" customWidth="1"/>
    <col min="12812" max="12813" width="7.42578125" style="98" customWidth="1"/>
    <col min="12814" max="12817" width="4.85546875" style="98" customWidth="1"/>
    <col min="12818" max="12818" width="6.140625" style="98" customWidth="1"/>
    <col min="12819" max="12819" width="6.7109375" style="98" customWidth="1"/>
    <col min="12820" max="12820" width="5.28515625" style="98" customWidth="1"/>
    <col min="12821" max="12822" width="6.85546875" style="98" customWidth="1"/>
    <col min="12823" max="13055" width="8.85546875" style="98"/>
    <col min="13056" max="13056" width="4.5703125" style="98" customWidth="1"/>
    <col min="13057" max="13057" width="21.140625" style="98" customWidth="1"/>
    <col min="13058" max="13059" width="4.85546875" style="98" customWidth="1"/>
    <col min="13060" max="13060" width="7.5703125" style="98" customWidth="1"/>
    <col min="13061" max="13061" width="6.28515625" style="98" customWidth="1"/>
    <col min="13062" max="13062" width="6.7109375" style="98" customWidth="1"/>
    <col min="13063" max="13064" width="5.28515625" style="98" customWidth="1"/>
    <col min="13065" max="13065" width="6" style="98" customWidth="1"/>
    <col min="13066" max="13066" width="4.85546875" style="98" customWidth="1"/>
    <col min="13067" max="13067" width="5" style="98" customWidth="1"/>
    <col min="13068" max="13069" width="7.42578125" style="98" customWidth="1"/>
    <col min="13070" max="13073" width="4.85546875" style="98" customWidth="1"/>
    <col min="13074" max="13074" width="6.140625" style="98" customWidth="1"/>
    <col min="13075" max="13075" width="6.7109375" style="98" customWidth="1"/>
    <col min="13076" max="13076" width="5.28515625" style="98" customWidth="1"/>
    <col min="13077" max="13078" width="6.85546875" style="98" customWidth="1"/>
    <col min="13079" max="13311" width="8.85546875" style="98"/>
    <col min="13312" max="13312" width="4.5703125" style="98" customWidth="1"/>
    <col min="13313" max="13313" width="21.140625" style="98" customWidth="1"/>
    <col min="13314" max="13315" width="4.85546875" style="98" customWidth="1"/>
    <col min="13316" max="13316" width="7.5703125" style="98" customWidth="1"/>
    <col min="13317" max="13317" width="6.28515625" style="98" customWidth="1"/>
    <col min="13318" max="13318" width="6.7109375" style="98" customWidth="1"/>
    <col min="13319" max="13320" width="5.28515625" style="98" customWidth="1"/>
    <col min="13321" max="13321" width="6" style="98" customWidth="1"/>
    <col min="13322" max="13322" width="4.85546875" style="98" customWidth="1"/>
    <col min="13323" max="13323" width="5" style="98" customWidth="1"/>
    <col min="13324" max="13325" width="7.42578125" style="98" customWidth="1"/>
    <col min="13326" max="13329" width="4.85546875" style="98" customWidth="1"/>
    <col min="13330" max="13330" width="6.140625" style="98" customWidth="1"/>
    <col min="13331" max="13331" width="6.7109375" style="98" customWidth="1"/>
    <col min="13332" max="13332" width="5.28515625" style="98" customWidth="1"/>
    <col min="13333" max="13334" width="6.85546875" style="98" customWidth="1"/>
    <col min="13335" max="13567" width="8.85546875" style="98"/>
    <col min="13568" max="13568" width="4.5703125" style="98" customWidth="1"/>
    <col min="13569" max="13569" width="21.140625" style="98" customWidth="1"/>
    <col min="13570" max="13571" width="4.85546875" style="98" customWidth="1"/>
    <col min="13572" max="13572" width="7.5703125" style="98" customWidth="1"/>
    <col min="13573" max="13573" width="6.28515625" style="98" customWidth="1"/>
    <col min="13574" max="13574" width="6.7109375" style="98" customWidth="1"/>
    <col min="13575" max="13576" width="5.28515625" style="98" customWidth="1"/>
    <col min="13577" max="13577" width="6" style="98" customWidth="1"/>
    <col min="13578" max="13578" width="4.85546875" style="98" customWidth="1"/>
    <col min="13579" max="13579" width="5" style="98" customWidth="1"/>
    <col min="13580" max="13581" width="7.42578125" style="98" customWidth="1"/>
    <col min="13582" max="13585" width="4.85546875" style="98" customWidth="1"/>
    <col min="13586" max="13586" width="6.140625" style="98" customWidth="1"/>
    <col min="13587" max="13587" width="6.7109375" style="98" customWidth="1"/>
    <col min="13588" max="13588" width="5.28515625" style="98" customWidth="1"/>
    <col min="13589" max="13590" width="6.85546875" style="98" customWidth="1"/>
    <col min="13591" max="13823" width="8.85546875" style="98"/>
    <col min="13824" max="13824" width="4.5703125" style="98" customWidth="1"/>
    <col min="13825" max="13825" width="21.140625" style="98" customWidth="1"/>
    <col min="13826" max="13827" width="4.85546875" style="98" customWidth="1"/>
    <col min="13828" max="13828" width="7.5703125" style="98" customWidth="1"/>
    <col min="13829" max="13829" width="6.28515625" style="98" customWidth="1"/>
    <col min="13830" max="13830" width="6.7109375" style="98" customWidth="1"/>
    <col min="13831" max="13832" width="5.28515625" style="98" customWidth="1"/>
    <col min="13833" max="13833" width="6" style="98" customWidth="1"/>
    <col min="13834" max="13834" width="4.85546875" style="98" customWidth="1"/>
    <col min="13835" max="13835" width="5" style="98" customWidth="1"/>
    <col min="13836" max="13837" width="7.42578125" style="98" customWidth="1"/>
    <col min="13838" max="13841" width="4.85546875" style="98" customWidth="1"/>
    <col min="13842" max="13842" width="6.140625" style="98" customWidth="1"/>
    <col min="13843" max="13843" width="6.7109375" style="98" customWidth="1"/>
    <col min="13844" max="13844" width="5.28515625" style="98" customWidth="1"/>
    <col min="13845" max="13846" width="6.85546875" style="98" customWidth="1"/>
    <col min="13847" max="14079" width="8.85546875" style="98"/>
    <col min="14080" max="14080" width="4.5703125" style="98" customWidth="1"/>
    <col min="14081" max="14081" width="21.140625" style="98" customWidth="1"/>
    <col min="14082" max="14083" width="4.85546875" style="98" customWidth="1"/>
    <col min="14084" max="14084" width="7.5703125" style="98" customWidth="1"/>
    <col min="14085" max="14085" width="6.28515625" style="98" customWidth="1"/>
    <col min="14086" max="14086" width="6.7109375" style="98" customWidth="1"/>
    <col min="14087" max="14088" width="5.28515625" style="98" customWidth="1"/>
    <col min="14089" max="14089" width="6" style="98" customWidth="1"/>
    <col min="14090" max="14090" width="4.85546875" style="98" customWidth="1"/>
    <col min="14091" max="14091" width="5" style="98" customWidth="1"/>
    <col min="14092" max="14093" width="7.42578125" style="98" customWidth="1"/>
    <col min="14094" max="14097" width="4.85546875" style="98" customWidth="1"/>
    <col min="14098" max="14098" width="6.140625" style="98" customWidth="1"/>
    <col min="14099" max="14099" width="6.7109375" style="98" customWidth="1"/>
    <col min="14100" max="14100" width="5.28515625" style="98" customWidth="1"/>
    <col min="14101" max="14102" width="6.85546875" style="98" customWidth="1"/>
    <col min="14103" max="14335" width="8.85546875" style="98"/>
    <col min="14336" max="14336" width="4.5703125" style="98" customWidth="1"/>
    <col min="14337" max="14337" width="21.140625" style="98" customWidth="1"/>
    <col min="14338" max="14339" width="4.85546875" style="98" customWidth="1"/>
    <col min="14340" max="14340" width="7.5703125" style="98" customWidth="1"/>
    <col min="14341" max="14341" width="6.28515625" style="98" customWidth="1"/>
    <col min="14342" max="14342" width="6.7109375" style="98" customWidth="1"/>
    <col min="14343" max="14344" width="5.28515625" style="98" customWidth="1"/>
    <col min="14345" max="14345" width="6" style="98" customWidth="1"/>
    <col min="14346" max="14346" width="4.85546875" style="98" customWidth="1"/>
    <col min="14347" max="14347" width="5" style="98" customWidth="1"/>
    <col min="14348" max="14349" width="7.42578125" style="98" customWidth="1"/>
    <col min="14350" max="14353" width="4.85546875" style="98" customWidth="1"/>
    <col min="14354" max="14354" width="6.140625" style="98" customWidth="1"/>
    <col min="14355" max="14355" width="6.7109375" style="98" customWidth="1"/>
    <col min="14356" max="14356" width="5.28515625" style="98" customWidth="1"/>
    <col min="14357" max="14358" width="6.85546875" style="98" customWidth="1"/>
    <col min="14359" max="14591" width="8.85546875" style="98"/>
    <col min="14592" max="14592" width="4.5703125" style="98" customWidth="1"/>
    <col min="14593" max="14593" width="21.140625" style="98" customWidth="1"/>
    <col min="14594" max="14595" width="4.85546875" style="98" customWidth="1"/>
    <col min="14596" max="14596" width="7.5703125" style="98" customWidth="1"/>
    <col min="14597" max="14597" width="6.28515625" style="98" customWidth="1"/>
    <col min="14598" max="14598" width="6.7109375" style="98" customWidth="1"/>
    <col min="14599" max="14600" width="5.28515625" style="98" customWidth="1"/>
    <col min="14601" max="14601" width="6" style="98" customWidth="1"/>
    <col min="14602" max="14602" width="4.85546875" style="98" customWidth="1"/>
    <col min="14603" max="14603" width="5" style="98" customWidth="1"/>
    <col min="14604" max="14605" width="7.42578125" style="98" customWidth="1"/>
    <col min="14606" max="14609" width="4.85546875" style="98" customWidth="1"/>
    <col min="14610" max="14610" width="6.140625" style="98" customWidth="1"/>
    <col min="14611" max="14611" width="6.7109375" style="98" customWidth="1"/>
    <col min="14612" max="14612" width="5.28515625" style="98" customWidth="1"/>
    <col min="14613" max="14614" width="6.85546875" style="98" customWidth="1"/>
    <col min="14615" max="14847" width="8.85546875" style="98"/>
    <col min="14848" max="14848" width="4.5703125" style="98" customWidth="1"/>
    <col min="14849" max="14849" width="21.140625" style="98" customWidth="1"/>
    <col min="14850" max="14851" width="4.85546875" style="98" customWidth="1"/>
    <col min="14852" max="14852" width="7.5703125" style="98" customWidth="1"/>
    <col min="14853" max="14853" width="6.28515625" style="98" customWidth="1"/>
    <col min="14854" max="14854" width="6.7109375" style="98" customWidth="1"/>
    <col min="14855" max="14856" width="5.28515625" style="98" customWidth="1"/>
    <col min="14857" max="14857" width="6" style="98" customWidth="1"/>
    <col min="14858" max="14858" width="4.85546875" style="98" customWidth="1"/>
    <col min="14859" max="14859" width="5" style="98" customWidth="1"/>
    <col min="14860" max="14861" width="7.42578125" style="98" customWidth="1"/>
    <col min="14862" max="14865" width="4.85546875" style="98" customWidth="1"/>
    <col min="14866" max="14866" width="6.140625" style="98" customWidth="1"/>
    <col min="14867" max="14867" width="6.7109375" style="98" customWidth="1"/>
    <col min="14868" max="14868" width="5.28515625" style="98" customWidth="1"/>
    <col min="14869" max="14870" width="6.85546875" style="98" customWidth="1"/>
    <col min="14871" max="15103" width="8.85546875" style="98"/>
    <col min="15104" max="15104" width="4.5703125" style="98" customWidth="1"/>
    <col min="15105" max="15105" width="21.140625" style="98" customWidth="1"/>
    <col min="15106" max="15107" width="4.85546875" style="98" customWidth="1"/>
    <col min="15108" max="15108" width="7.5703125" style="98" customWidth="1"/>
    <col min="15109" max="15109" width="6.28515625" style="98" customWidth="1"/>
    <col min="15110" max="15110" width="6.7109375" style="98" customWidth="1"/>
    <col min="15111" max="15112" width="5.28515625" style="98" customWidth="1"/>
    <col min="15113" max="15113" width="6" style="98" customWidth="1"/>
    <col min="15114" max="15114" width="4.85546875" style="98" customWidth="1"/>
    <col min="15115" max="15115" width="5" style="98" customWidth="1"/>
    <col min="15116" max="15117" width="7.42578125" style="98" customWidth="1"/>
    <col min="15118" max="15121" width="4.85546875" style="98" customWidth="1"/>
    <col min="15122" max="15122" width="6.140625" style="98" customWidth="1"/>
    <col min="15123" max="15123" width="6.7109375" style="98" customWidth="1"/>
    <col min="15124" max="15124" width="5.28515625" style="98" customWidth="1"/>
    <col min="15125" max="15126" width="6.85546875" style="98" customWidth="1"/>
    <col min="15127" max="15359" width="8.85546875" style="98"/>
    <col min="15360" max="15360" width="4.5703125" style="98" customWidth="1"/>
    <col min="15361" max="15361" width="21.140625" style="98" customWidth="1"/>
    <col min="15362" max="15363" width="4.85546875" style="98" customWidth="1"/>
    <col min="15364" max="15364" width="7.5703125" style="98" customWidth="1"/>
    <col min="15365" max="15365" width="6.28515625" style="98" customWidth="1"/>
    <col min="15366" max="15366" width="6.7109375" style="98" customWidth="1"/>
    <col min="15367" max="15368" width="5.28515625" style="98" customWidth="1"/>
    <col min="15369" max="15369" width="6" style="98" customWidth="1"/>
    <col min="15370" max="15370" width="4.85546875" style="98" customWidth="1"/>
    <col min="15371" max="15371" width="5" style="98" customWidth="1"/>
    <col min="15372" max="15373" width="7.42578125" style="98" customWidth="1"/>
    <col min="15374" max="15377" width="4.85546875" style="98" customWidth="1"/>
    <col min="15378" max="15378" width="6.140625" style="98" customWidth="1"/>
    <col min="15379" max="15379" width="6.7109375" style="98" customWidth="1"/>
    <col min="15380" max="15380" width="5.28515625" style="98" customWidth="1"/>
    <col min="15381" max="15382" width="6.85546875" style="98" customWidth="1"/>
    <col min="15383" max="15615" width="8.85546875" style="98"/>
    <col min="15616" max="15616" width="4.5703125" style="98" customWidth="1"/>
    <col min="15617" max="15617" width="21.140625" style="98" customWidth="1"/>
    <col min="15618" max="15619" width="4.85546875" style="98" customWidth="1"/>
    <col min="15620" max="15620" width="7.5703125" style="98" customWidth="1"/>
    <col min="15621" max="15621" width="6.28515625" style="98" customWidth="1"/>
    <col min="15622" max="15622" width="6.7109375" style="98" customWidth="1"/>
    <col min="15623" max="15624" width="5.28515625" style="98" customWidth="1"/>
    <col min="15625" max="15625" width="6" style="98" customWidth="1"/>
    <col min="15626" max="15626" width="4.85546875" style="98" customWidth="1"/>
    <col min="15627" max="15627" width="5" style="98" customWidth="1"/>
    <col min="15628" max="15629" width="7.42578125" style="98" customWidth="1"/>
    <col min="15630" max="15633" width="4.85546875" style="98" customWidth="1"/>
    <col min="15634" max="15634" width="6.140625" style="98" customWidth="1"/>
    <col min="15635" max="15635" width="6.7109375" style="98" customWidth="1"/>
    <col min="15636" max="15636" width="5.28515625" style="98" customWidth="1"/>
    <col min="15637" max="15638" width="6.85546875" style="98" customWidth="1"/>
    <col min="15639" max="15871" width="8.85546875" style="98"/>
    <col min="15872" max="15872" width="4.5703125" style="98" customWidth="1"/>
    <col min="15873" max="15873" width="21.140625" style="98" customWidth="1"/>
    <col min="15874" max="15875" width="4.85546875" style="98" customWidth="1"/>
    <col min="15876" max="15876" width="7.5703125" style="98" customWidth="1"/>
    <col min="15877" max="15877" width="6.28515625" style="98" customWidth="1"/>
    <col min="15878" max="15878" width="6.7109375" style="98" customWidth="1"/>
    <col min="15879" max="15880" width="5.28515625" style="98" customWidth="1"/>
    <col min="15881" max="15881" width="6" style="98" customWidth="1"/>
    <col min="15882" max="15882" width="4.85546875" style="98" customWidth="1"/>
    <col min="15883" max="15883" width="5" style="98" customWidth="1"/>
    <col min="15884" max="15885" width="7.42578125" style="98" customWidth="1"/>
    <col min="15886" max="15889" width="4.85546875" style="98" customWidth="1"/>
    <col min="15890" max="15890" width="6.140625" style="98" customWidth="1"/>
    <col min="15891" max="15891" width="6.7109375" style="98" customWidth="1"/>
    <col min="15892" max="15892" width="5.28515625" style="98" customWidth="1"/>
    <col min="15893" max="15894" width="6.85546875" style="98" customWidth="1"/>
    <col min="15895" max="16127" width="8.85546875" style="98"/>
    <col min="16128" max="16128" width="4.5703125" style="98" customWidth="1"/>
    <col min="16129" max="16129" width="21.140625" style="98" customWidth="1"/>
    <col min="16130" max="16131" width="4.85546875" style="98" customWidth="1"/>
    <col min="16132" max="16132" width="7.5703125" style="98" customWidth="1"/>
    <col min="16133" max="16133" width="6.28515625" style="98" customWidth="1"/>
    <col min="16134" max="16134" width="6.7109375" style="98" customWidth="1"/>
    <col min="16135" max="16136" width="5.28515625" style="98" customWidth="1"/>
    <col min="16137" max="16137" width="6" style="98" customWidth="1"/>
    <col min="16138" max="16138" width="4.85546875" style="98" customWidth="1"/>
    <col min="16139" max="16139" width="5" style="98" customWidth="1"/>
    <col min="16140" max="16141" width="7.42578125" style="98" customWidth="1"/>
    <col min="16142" max="16145" width="4.85546875" style="98" customWidth="1"/>
    <col min="16146" max="16146" width="6.140625" style="98" customWidth="1"/>
    <col min="16147" max="16147" width="6.7109375" style="98" customWidth="1"/>
    <col min="16148" max="16148" width="5.28515625" style="98" customWidth="1"/>
    <col min="16149" max="16150" width="6.85546875" style="98" customWidth="1"/>
    <col min="16151" max="16384" width="8.85546875" style="98"/>
  </cols>
  <sheetData>
    <row r="1" spans="1:37" ht="14.45" customHeight="1" x14ac:dyDescent="0.25">
      <c r="A1" s="311" t="s">
        <v>263</v>
      </c>
      <c r="B1" s="311"/>
      <c r="C1" s="311"/>
      <c r="D1" s="311"/>
      <c r="E1" s="311"/>
    </row>
    <row r="2" spans="1:37" ht="19.899999999999999" customHeight="1" x14ac:dyDescent="0.3">
      <c r="A2" s="309" t="s">
        <v>105</v>
      </c>
      <c r="B2" s="309"/>
      <c r="C2" s="309"/>
      <c r="D2" s="309"/>
      <c r="E2" s="309"/>
      <c r="F2" s="309"/>
      <c r="G2" s="309"/>
      <c r="H2" s="309"/>
      <c r="I2" s="309"/>
      <c r="J2" s="309"/>
      <c r="K2" s="309"/>
      <c r="L2" s="309"/>
      <c r="M2" s="309"/>
      <c r="N2" s="309"/>
      <c r="O2" s="309"/>
      <c r="P2" s="309"/>
      <c r="Q2" s="309"/>
      <c r="R2" s="309"/>
      <c r="S2" s="309"/>
      <c r="T2" s="309"/>
      <c r="U2" s="309"/>
      <c r="V2" s="309"/>
      <c r="W2" s="309"/>
      <c r="X2" s="185"/>
      <c r="Y2" s="185"/>
      <c r="AE2" s="97"/>
      <c r="AF2" s="97"/>
    </row>
    <row r="3" spans="1:37" ht="21.6" customHeight="1" x14ac:dyDescent="0.25">
      <c r="V3" s="9" t="s">
        <v>0</v>
      </c>
      <c r="AE3" s="97"/>
      <c r="AF3" s="97"/>
    </row>
    <row r="4" spans="1:37" ht="18.600000000000001" customHeight="1" x14ac:dyDescent="0.25">
      <c r="A4" s="308" t="s">
        <v>38</v>
      </c>
      <c r="B4" s="308" t="s">
        <v>39</v>
      </c>
      <c r="C4" s="308" t="s">
        <v>169</v>
      </c>
      <c r="D4" s="308" t="s">
        <v>184</v>
      </c>
      <c r="E4" s="312" t="s">
        <v>106</v>
      </c>
      <c r="F4" s="312"/>
      <c r="G4" s="312"/>
      <c r="H4" s="312"/>
      <c r="I4" s="312"/>
      <c r="J4" s="312"/>
      <c r="K4" s="312"/>
      <c r="L4" s="312"/>
      <c r="M4" s="312"/>
      <c r="N4" s="312"/>
      <c r="O4" s="312"/>
      <c r="P4" s="312"/>
      <c r="Q4" s="312"/>
      <c r="R4" s="312"/>
      <c r="S4" s="312"/>
      <c r="T4" s="312"/>
      <c r="U4" s="312"/>
      <c r="V4" s="308" t="s">
        <v>62</v>
      </c>
      <c r="W4" s="308" t="s">
        <v>37</v>
      </c>
      <c r="X4" s="192"/>
      <c r="Y4" s="187"/>
      <c r="AE4" s="97"/>
      <c r="AF4" s="97"/>
    </row>
    <row r="5" spans="1:37" ht="16.149999999999999" customHeight="1" x14ac:dyDescent="0.25">
      <c r="A5" s="308"/>
      <c r="B5" s="308"/>
      <c r="C5" s="308"/>
      <c r="D5" s="308"/>
      <c r="E5" s="308" t="s">
        <v>40</v>
      </c>
      <c r="F5" s="308" t="s">
        <v>41</v>
      </c>
      <c r="G5" s="308" t="s">
        <v>42</v>
      </c>
      <c r="H5" s="308" t="s">
        <v>36</v>
      </c>
      <c r="I5" s="308"/>
      <c r="J5" s="308"/>
      <c r="K5" s="308"/>
      <c r="L5" s="308"/>
      <c r="M5" s="308"/>
      <c r="N5" s="308"/>
      <c r="O5" s="308"/>
      <c r="P5" s="308"/>
      <c r="Q5" s="308"/>
      <c r="R5" s="308"/>
      <c r="S5" s="308"/>
      <c r="T5" s="308" t="s">
        <v>43</v>
      </c>
      <c r="U5" s="308" t="s">
        <v>44</v>
      </c>
      <c r="V5" s="308"/>
      <c r="W5" s="308"/>
      <c r="X5" s="192"/>
      <c r="Y5" s="187"/>
      <c r="Z5" s="71"/>
      <c r="AA5" s="71"/>
      <c r="AB5" s="27"/>
      <c r="AC5" s="28"/>
      <c r="AE5" s="97"/>
      <c r="AF5" s="97"/>
    </row>
    <row r="6" spans="1:37" ht="78.599999999999994" customHeight="1" x14ac:dyDescent="0.25">
      <c r="A6" s="308"/>
      <c r="B6" s="308"/>
      <c r="C6" s="308"/>
      <c r="D6" s="308"/>
      <c r="E6" s="308"/>
      <c r="F6" s="308"/>
      <c r="G6" s="308"/>
      <c r="H6" s="152" t="s">
        <v>45</v>
      </c>
      <c r="I6" s="152" t="s">
        <v>46</v>
      </c>
      <c r="J6" s="152" t="s">
        <v>47</v>
      </c>
      <c r="K6" s="152" t="s">
        <v>48</v>
      </c>
      <c r="L6" s="152" t="s">
        <v>49</v>
      </c>
      <c r="M6" s="152" t="s">
        <v>50</v>
      </c>
      <c r="N6" s="152" t="s">
        <v>51</v>
      </c>
      <c r="O6" s="152" t="s">
        <v>52</v>
      </c>
      <c r="P6" s="152" t="s">
        <v>53</v>
      </c>
      <c r="Q6" s="152" t="s">
        <v>54</v>
      </c>
      <c r="R6" s="152" t="s">
        <v>55</v>
      </c>
      <c r="S6" s="152" t="s">
        <v>56</v>
      </c>
      <c r="T6" s="308"/>
      <c r="U6" s="308"/>
      <c r="V6" s="308"/>
      <c r="W6" s="308"/>
      <c r="X6" s="192"/>
      <c r="Y6" s="187"/>
      <c r="Z6" s="71"/>
      <c r="AA6" s="71"/>
      <c r="AB6" s="27"/>
      <c r="AC6" s="29"/>
      <c r="AE6" s="97"/>
      <c r="AF6" s="97"/>
    </row>
    <row r="7" spans="1:37" ht="20.25" customHeight="1" x14ac:dyDescent="0.25">
      <c r="A7" s="152" t="s">
        <v>33</v>
      </c>
      <c r="B7" s="152" t="s">
        <v>34</v>
      </c>
      <c r="C7" s="152">
        <v>1</v>
      </c>
      <c r="D7" s="152">
        <v>2</v>
      </c>
      <c r="E7" s="152" t="s">
        <v>57</v>
      </c>
      <c r="F7" s="152">
        <v>4</v>
      </c>
      <c r="G7" s="152" t="s">
        <v>58</v>
      </c>
      <c r="H7" s="152">
        <v>6</v>
      </c>
      <c r="I7" s="152">
        <v>7</v>
      </c>
      <c r="J7" s="152">
        <v>8</v>
      </c>
      <c r="K7" s="152">
        <v>9</v>
      </c>
      <c r="L7" s="152">
        <v>10</v>
      </c>
      <c r="M7" s="152">
        <v>11</v>
      </c>
      <c r="N7" s="152">
        <v>12</v>
      </c>
      <c r="O7" s="152">
        <v>13</v>
      </c>
      <c r="P7" s="152">
        <v>14</v>
      </c>
      <c r="Q7" s="152">
        <v>15</v>
      </c>
      <c r="R7" s="152">
        <v>16</v>
      </c>
      <c r="S7" s="152">
        <v>17</v>
      </c>
      <c r="T7" s="152">
        <v>18</v>
      </c>
      <c r="U7" s="152">
        <v>19</v>
      </c>
      <c r="V7" s="184" t="s">
        <v>194</v>
      </c>
      <c r="W7" s="184" t="s">
        <v>72</v>
      </c>
      <c r="X7" s="192"/>
      <c r="Y7" s="187"/>
      <c r="Z7" s="72"/>
      <c r="AA7" s="72"/>
      <c r="AB7" s="30"/>
      <c r="AC7" s="30"/>
      <c r="AD7" s="4"/>
      <c r="AE7" s="97"/>
      <c r="AF7" s="97"/>
    </row>
    <row r="8" spans="1:37" ht="19.149999999999999" customHeight="1" x14ac:dyDescent="0.25">
      <c r="A8" s="136"/>
      <c r="B8" s="137" t="s">
        <v>59</v>
      </c>
      <c r="C8" s="138">
        <f>C9</f>
        <v>69</v>
      </c>
      <c r="D8" s="138">
        <f t="shared" ref="D8:V8" si="0">D9</f>
        <v>65</v>
      </c>
      <c r="E8" s="139">
        <f t="shared" si="0"/>
        <v>329.62248549999975</v>
      </c>
      <c r="F8" s="139">
        <f t="shared" si="0"/>
        <v>185.19000000000003</v>
      </c>
      <c r="G8" s="139">
        <f t="shared" si="0"/>
        <v>92.918300000000031</v>
      </c>
      <c r="H8" s="139">
        <f t="shared" si="0"/>
        <v>2.4</v>
      </c>
      <c r="I8" s="139">
        <f t="shared" si="0"/>
        <v>0</v>
      </c>
      <c r="J8" s="139">
        <f t="shared" si="0"/>
        <v>31.619299999999988</v>
      </c>
      <c r="K8" s="139"/>
      <c r="L8" s="139"/>
      <c r="M8" s="139">
        <f t="shared" si="0"/>
        <v>4.6999999999999993</v>
      </c>
      <c r="N8" s="139">
        <f>N9</f>
        <v>53.498999999999988</v>
      </c>
      <c r="O8" s="139"/>
      <c r="P8" s="148"/>
      <c r="Q8" s="139"/>
      <c r="R8" s="139"/>
      <c r="S8" s="139">
        <f t="shared" si="0"/>
        <v>0.7</v>
      </c>
      <c r="T8" s="139">
        <f t="shared" si="0"/>
        <v>49.322092500000004</v>
      </c>
      <c r="U8" s="139">
        <f t="shared" si="0"/>
        <v>2.1920930000000003</v>
      </c>
      <c r="V8" s="147">
        <f t="shared" si="0"/>
        <v>593.3204738999998</v>
      </c>
      <c r="W8" s="138"/>
      <c r="X8" s="193"/>
      <c r="Y8" s="188"/>
      <c r="Z8" s="186">
        <f>V8*12</f>
        <v>7119.8456867999976</v>
      </c>
      <c r="AA8" s="73"/>
      <c r="AB8" s="37"/>
      <c r="AC8" s="31"/>
      <c r="AD8" s="22"/>
      <c r="AE8" s="97" t="s">
        <v>97</v>
      </c>
      <c r="AF8" s="26">
        <f>F8</f>
        <v>185.19000000000003</v>
      </c>
      <c r="AG8" s="38">
        <f>AF8*7%</f>
        <v>12.963300000000004</v>
      </c>
      <c r="AH8" s="25">
        <f>AG8+AF8</f>
        <v>198.15330000000003</v>
      </c>
      <c r="AI8" s="39">
        <f>AH8*1490000*6</f>
        <v>1771490502.0000005</v>
      </c>
      <c r="AJ8" s="39">
        <f>AH8*1800000*6</f>
        <v>2140055640.0000005</v>
      </c>
      <c r="AK8" s="39">
        <f>AJ8+AI8</f>
        <v>3911546142.000001</v>
      </c>
    </row>
    <row r="9" spans="1:37" s="4" customFormat="1" ht="19.149999999999999" customHeight="1" x14ac:dyDescent="0.25">
      <c r="A9" s="140">
        <v>1</v>
      </c>
      <c r="B9" s="141" t="s">
        <v>60</v>
      </c>
      <c r="C9" s="142">
        <v>69</v>
      </c>
      <c r="D9" s="142">
        <v>65</v>
      </c>
      <c r="E9" s="149">
        <f t="shared" ref="E9:J9" si="1">SUM(E10:E56)</f>
        <v>329.62248549999975</v>
      </c>
      <c r="F9" s="149">
        <f t="shared" si="1"/>
        <v>185.19000000000003</v>
      </c>
      <c r="G9" s="149">
        <f t="shared" si="1"/>
        <v>92.918300000000031</v>
      </c>
      <c r="H9" s="149">
        <f t="shared" si="1"/>
        <v>2.4</v>
      </c>
      <c r="I9" s="149">
        <f t="shared" si="1"/>
        <v>0</v>
      </c>
      <c r="J9" s="149">
        <f t="shared" si="1"/>
        <v>31.619299999999988</v>
      </c>
      <c r="K9" s="149"/>
      <c r="L9" s="149"/>
      <c r="M9" s="149">
        <f>SUM(M10:M56)</f>
        <v>4.6999999999999993</v>
      </c>
      <c r="N9" s="149">
        <f>SUM(N10:N56)</f>
        <v>53.498999999999988</v>
      </c>
      <c r="O9" s="149"/>
      <c r="P9" s="150"/>
      <c r="Q9" s="149"/>
      <c r="R9" s="149"/>
      <c r="S9" s="149">
        <f>SUM(S10:S56)</f>
        <v>0.7</v>
      </c>
      <c r="T9" s="149">
        <f>(F9+H9+J9)*22.5%</f>
        <v>49.322092500000004</v>
      </c>
      <c r="U9" s="149">
        <f>(F9+H9+J9)*1%</f>
        <v>2.1920930000000003</v>
      </c>
      <c r="V9" s="151">
        <f>SUM(V10:V56)</f>
        <v>593.3204738999998</v>
      </c>
      <c r="W9" s="143">
        <f>SUM(W10:W56)</f>
        <v>0</v>
      </c>
      <c r="X9" s="194"/>
      <c r="Y9" s="189"/>
      <c r="Z9" s="74"/>
      <c r="AA9" s="74"/>
      <c r="AB9" s="32"/>
      <c r="AC9" s="33"/>
      <c r="AD9" s="23"/>
      <c r="AE9" s="97" t="s">
        <v>98</v>
      </c>
      <c r="AF9" s="26">
        <f>H8</f>
        <v>2.4</v>
      </c>
      <c r="AG9" s="38">
        <f t="shared" ref="AG9:AG15" si="2">AF9*7%</f>
        <v>0.16800000000000001</v>
      </c>
      <c r="AH9" s="25">
        <f t="shared" ref="AH9:AH15" si="3">AG9+AF9</f>
        <v>2.5680000000000001</v>
      </c>
      <c r="AI9" s="39">
        <f t="shared" ref="AI9:AI15" si="4">AH9*1490000*6</f>
        <v>22957920</v>
      </c>
      <c r="AJ9" s="39">
        <f t="shared" ref="AJ9:AJ15" si="5">AH9*1800000*6</f>
        <v>27734400</v>
      </c>
      <c r="AK9" s="39">
        <f t="shared" ref="AK9:AK15" si="6">AJ9+AI9</f>
        <v>50692320</v>
      </c>
    </row>
    <row r="10" spans="1:37" s="22" customFormat="1" ht="19.149999999999999" customHeight="1" x14ac:dyDescent="0.25">
      <c r="A10" s="218">
        <v>1</v>
      </c>
      <c r="B10" s="219" t="s">
        <v>219</v>
      </c>
      <c r="C10" s="220"/>
      <c r="D10" s="220"/>
      <c r="E10" s="221">
        <f>F10+G10+T10+U10</f>
        <v>8.3869275000000005</v>
      </c>
      <c r="F10" s="222">
        <f>4+0.34</f>
        <v>4.34</v>
      </c>
      <c r="G10" s="223">
        <f>SUM(H10:S10)</f>
        <v>2.7435</v>
      </c>
      <c r="H10" s="224">
        <v>0.45000000000000007</v>
      </c>
      <c r="I10" s="220"/>
      <c r="J10" s="225">
        <v>0.75650000000000006</v>
      </c>
      <c r="K10" s="220"/>
      <c r="L10" s="226"/>
      <c r="M10" s="224">
        <v>0.1</v>
      </c>
      <c r="N10" s="227">
        <f>(F10+H10+I10)*30%</f>
        <v>1.4370000000000001</v>
      </c>
      <c r="O10" s="146"/>
      <c r="P10" s="227"/>
      <c r="Q10" s="146"/>
      <c r="R10" s="146"/>
      <c r="S10" s="228"/>
      <c r="T10" s="229">
        <f>(F10+H10+J10)*22.5%</f>
        <v>1.2479625000000001</v>
      </c>
      <c r="U10" s="229">
        <f>(F10+H10+J10)*1%</f>
        <v>5.5465E-2</v>
      </c>
      <c r="V10" s="229">
        <f>E10*1.8</f>
        <v>15.096469500000001</v>
      </c>
      <c r="W10" s="230"/>
      <c r="X10" s="195"/>
      <c r="Y10" s="196"/>
      <c r="Z10" s="190">
        <v>5.36</v>
      </c>
      <c r="AA10" s="76">
        <f>Z10-F10</f>
        <v>1.0200000000000005</v>
      </c>
      <c r="AB10" s="34">
        <f>(1.8+2.34)/2</f>
        <v>2.0699999999999998</v>
      </c>
      <c r="AC10" s="28"/>
      <c r="AD10" s="181">
        <v>0.28000000000000003</v>
      </c>
      <c r="AE10" s="97" t="s">
        <v>99</v>
      </c>
      <c r="AF10" s="26">
        <f>I8</f>
        <v>0</v>
      </c>
      <c r="AG10" s="38">
        <f t="shared" si="2"/>
        <v>0</v>
      </c>
      <c r="AH10" s="25">
        <f t="shared" si="3"/>
        <v>0</v>
      </c>
      <c r="AI10" s="39">
        <f t="shared" si="4"/>
        <v>0</v>
      </c>
      <c r="AJ10" s="39">
        <f t="shared" si="5"/>
        <v>0</v>
      </c>
      <c r="AK10" s="39">
        <f t="shared" si="6"/>
        <v>0</v>
      </c>
    </row>
    <row r="11" spans="1:37" s="23" customFormat="1" ht="19.149999999999999" customHeight="1" x14ac:dyDescent="0.25">
      <c r="A11" s="218">
        <v>2</v>
      </c>
      <c r="B11" s="219" t="s">
        <v>220</v>
      </c>
      <c r="C11" s="220"/>
      <c r="D11" s="220"/>
      <c r="E11" s="221">
        <f t="shared" ref="E11:E50" si="7">F11+G11+T11+U11</f>
        <v>9.0634599999999992</v>
      </c>
      <c r="F11" s="231">
        <f>4.34+0.34</f>
        <v>4.68</v>
      </c>
      <c r="G11" s="223">
        <f t="shared" ref="G11:G50" si="8">SUM(H11:S11)</f>
        <v>2.9649999999999999</v>
      </c>
      <c r="H11" s="224">
        <v>0.35</v>
      </c>
      <c r="I11" s="220"/>
      <c r="J11" s="225">
        <v>1.006</v>
      </c>
      <c r="K11" s="220"/>
      <c r="L11" s="226"/>
      <c r="M11" s="224">
        <v>0.1</v>
      </c>
      <c r="N11" s="227">
        <f t="shared" ref="N11:N56" si="9">(F11+H11+I11)*30%</f>
        <v>1.5089999999999997</v>
      </c>
      <c r="O11" s="146"/>
      <c r="P11" s="227"/>
      <c r="Q11" s="146"/>
      <c r="R11" s="146"/>
      <c r="S11" s="228"/>
      <c r="T11" s="229">
        <f t="shared" ref="T11:T50" si="10">(F11+H11+J11)*22.5%</f>
        <v>1.3580999999999999</v>
      </c>
      <c r="U11" s="229">
        <f t="shared" ref="U11:U50" si="11">(F11+H11+J11)*1%</f>
        <v>6.0359999999999997E-2</v>
      </c>
      <c r="V11" s="229">
        <f t="shared" ref="V11:V50" si="12">E11*1.8</f>
        <v>16.314228</v>
      </c>
      <c r="W11" s="230"/>
      <c r="X11" s="195"/>
      <c r="Y11" s="196"/>
      <c r="Z11" s="191">
        <v>5.3599999999999994</v>
      </c>
      <c r="AA11" s="76">
        <f t="shared" ref="AA11:AA56" si="13">Z11-F11</f>
        <v>0.67999999999999972</v>
      </c>
      <c r="AB11" s="35" t="s">
        <v>192</v>
      </c>
      <c r="AC11" s="36"/>
      <c r="AD11" s="181">
        <v>0.27</v>
      </c>
      <c r="AE11" s="97" t="s">
        <v>100</v>
      </c>
      <c r="AF11" s="26">
        <f>J8</f>
        <v>31.619299999999988</v>
      </c>
      <c r="AG11" s="38">
        <f t="shared" si="2"/>
        <v>2.2133509999999994</v>
      </c>
      <c r="AH11" s="25">
        <f t="shared" si="3"/>
        <v>33.832650999999984</v>
      </c>
      <c r="AI11" s="39">
        <f t="shared" si="4"/>
        <v>302463899.93999988</v>
      </c>
      <c r="AJ11" s="39">
        <f t="shared" si="5"/>
        <v>365392630.79999983</v>
      </c>
      <c r="AK11" s="39">
        <f t="shared" si="6"/>
        <v>667856530.73999977</v>
      </c>
    </row>
    <row r="12" spans="1:37" s="24" customFormat="1" ht="19.149999999999999" customHeight="1" x14ac:dyDescent="0.25">
      <c r="A12" s="218">
        <v>3</v>
      </c>
      <c r="B12" s="219" t="s">
        <v>221</v>
      </c>
      <c r="C12" s="220"/>
      <c r="D12" s="220"/>
      <c r="E12" s="221">
        <f t="shared" si="7"/>
        <v>8.0182184999999997</v>
      </c>
      <c r="F12" s="231">
        <f>3.99+0.33</f>
        <v>4.32</v>
      </c>
      <c r="G12" s="223">
        <f t="shared" si="8"/>
        <v>2.4581</v>
      </c>
      <c r="H12" s="224">
        <v>0.35</v>
      </c>
      <c r="I12" s="232"/>
      <c r="J12" s="225">
        <v>0.60709999999999997</v>
      </c>
      <c r="K12" s="220"/>
      <c r="L12" s="226"/>
      <c r="M12" s="224">
        <v>0.1</v>
      </c>
      <c r="N12" s="227">
        <f t="shared" si="9"/>
        <v>1.401</v>
      </c>
      <c r="O12" s="146"/>
      <c r="P12" s="227"/>
      <c r="Q12" s="146"/>
      <c r="R12" s="146"/>
      <c r="S12" s="228"/>
      <c r="T12" s="229">
        <f t="shared" si="10"/>
        <v>1.1873475</v>
      </c>
      <c r="U12" s="229">
        <f t="shared" si="11"/>
        <v>5.2770999999999998E-2</v>
      </c>
      <c r="V12" s="229">
        <f t="shared" si="12"/>
        <v>14.4327933</v>
      </c>
      <c r="W12" s="230"/>
      <c r="X12" s="195"/>
      <c r="Y12" s="196"/>
      <c r="Z12" s="191">
        <v>5.36</v>
      </c>
      <c r="AA12" s="76">
        <f t="shared" si="13"/>
        <v>1.04</v>
      </c>
      <c r="AB12" s="35"/>
      <c r="AC12" s="28"/>
      <c r="AD12" s="181">
        <v>0.25</v>
      </c>
      <c r="AE12" s="97" t="s">
        <v>101</v>
      </c>
      <c r="AF12" s="26">
        <f>M8</f>
        <v>4.6999999999999993</v>
      </c>
      <c r="AG12" s="38">
        <f t="shared" si="2"/>
        <v>0.32899999999999996</v>
      </c>
      <c r="AH12" s="25">
        <f t="shared" si="3"/>
        <v>5.028999999999999</v>
      </c>
      <c r="AI12" s="39">
        <f t="shared" si="4"/>
        <v>44959259.999999985</v>
      </c>
      <c r="AJ12" s="39">
        <f t="shared" si="5"/>
        <v>54313199.999999985</v>
      </c>
      <c r="AK12" s="39">
        <f t="shared" si="6"/>
        <v>99272459.99999997</v>
      </c>
    </row>
    <row r="13" spans="1:37" s="287" customFormat="1" ht="19.149999999999999" customHeight="1" x14ac:dyDescent="0.25">
      <c r="A13" s="234">
        <v>4</v>
      </c>
      <c r="B13" s="219" t="s">
        <v>222</v>
      </c>
      <c r="C13" s="220"/>
      <c r="D13" s="220"/>
      <c r="E13" s="221">
        <f t="shared" si="7"/>
        <v>10.633077</v>
      </c>
      <c r="F13" s="231">
        <f>4.68+0.34+0.34</f>
        <v>5.3599999999999994</v>
      </c>
      <c r="G13" s="223">
        <f t="shared" si="8"/>
        <v>3.5861999999999998</v>
      </c>
      <c r="H13" s="224">
        <v>0.2</v>
      </c>
      <c r="I13" s="232"/>
      <c r="J13" s="225">
        <v>1.6181999999999999</v>
      </c>
      <c r="K13" s="220"/>
      <c r="L13" s="226"/>
      <c r="M13" s="224">
        <v>0.1</v>
      </c>
      <c r="N13" s="225">
        <f t="shared" si="9"/>
        <v>1.6679999999999999</v>
      </c>
      <c r="O13" s="220"/>
      <c r="P13" s="225"/>
      <c r="Q13" s="220"/>
      <c r="R13" s="220"/>
      <c r="S13" s="228"/>
      <c r="T13" s="223">
        <f t="shared" si="10"/>
        <v>1.6150949999999999</v>
      </c>
      <c r="U13" s="223">
        <f t="shared" si="11"/>
        <v>7.1781999999999999E-2</v>
      </c>
      <c r="V13" s="223">
        <f t="shared" si="12"/>
        <v>19.139538600000002</v>
      </c>
      <c r="W13" s="232"/>
      <c r="X13" s="277"/>
      <c r="Y13" s="278"/>
      <c r="Z13" s="191">
        <v>5.36</v>
      </c>
      <c r="AA13" s="279">
        <f t="shared" si="13"/>
        <v>0</v>
      </c>
      <c r="AB13" s="280"/>
      <c r="AC13" s="281"/>
      <c r="AD13" s="181">
        <v>0.25</v>
      </c>
      <c r="AE13" s="282" t="s">
        <v>102</v>
      </c>
      <c r="AF13" s="283">
        <f>N8</f>
        <v>53.498999999999988</v>
      </c>
      <c r="AG13" s="284">
        <f t="shared" si="2"/>
        <v>3.7449299999999996</v>
      </c>
      <c r="AH13" s="285">
        <f t="shared" si="3"/>
        <v>57.243929999999985</v>
      </c>
      <c r="AI13" s="286">
        <f t="shared" si="4"/>
        <v>511760734.19999981</v>
      </c>
      <c r="AJ13" s="286">
        <f t="shared" si="5"/>
        <v>618234443.99999976</v>
      </c>
      <c r="AK13" s="286">
        <f t="shared" si="6"/>
        <v>1129995178.1999996</v>
      </c>
    </row>
    <row r="14" spans="1:37" s="24" customFormat="1" ht="19.149999999999999" customHeight="1" x14ac:dyDescent="0.25">
      <c r="A14" s="218">
        <v>5</v>
      </c>
      <c r="B14" s="219" t="s">
        <v>223</v>
      </c>
      <c r="C14" s="220"/>
      <c r="D14" s="220"/>
      <c r="E14" s="221">
        <f t="shared" si="7"/>
        <v>8.916696</v>
      </c>
      <c r="F14" s="231">
        <f>4.34+0.34</f>
        <v>4.68</v>
      </c>
      <c r="G14" s="223">
        <f t="shared" si="8"/>
        <v>2.8376000000000001</v>
      </c>
      <c r="H14" s="224">
        <v>0.2</v>
      </c>
      <c r="I14" s="232"/>
      <c r="J14" s="225">
        <v>1.0735999999999999</v>
      </c>
      <c r="K14" s="220"/>
      <c r="L14" s="226"/>
      <c r="M14" s="224">
        <v>0.1</v>
      </c>
      <c r="N14" s="227">
        <f t="shared" si="9"/>
        <v>1.464</v>
      </c>
      <c r="O14" s="146"/>
      <c r="P14" s="227"/>
      <c r="Q14" s="146"/>
      <c r="R14" s="146"/>
      <c r="S14" s="228"/>
      <c r="T14" s="229">
        <f t="shared" si="10"/>
        <v>1.3395600000000001</v>
      </c>
      <c r="U14" s="229">
        <f t="shared" si="11"/>
        <v>5.9535999999999999E-2</v>
      </c>
      <c r="V14" s="229">
        <f t="shared" si="12"/>
        <v>16.0500528</v>
      </c>
      <c r="W14" s="230"/>
      <c r="X14" s="195"/>
      <c r="Y14" s="196"/>
      <c r="Z14" s="190">
        <v>4.68</v>
      </c>
      <c r="AA14" s="76">
        <f t="shared" si="13"/>
        <v>0</v>
      </c>
      <c r="AB14" s="35"/>
      <c r="AC14" s="36"/>
      <c r="AD14" s="181">
        <v>0.25</v>
      </c>
      <c r="AE14" s="97" t="s">
        <v>103</v>
      </c>
      <c r="AF14" s="26">
        <f>S8</f>
        <v>0.7</v>
      </c>
      <c r="AG14" s="38">
        <f t="shared" si="2"/>
        <v>4.9000000000000002E-2</v>
      </c>
      <c r="AH14" s="25">
        <f t="shared" si="3"/>
        <v>0.749</v>
      </c>
      <c r="AI14" s="39">
        <f t="shared" si="4"/>
        <v>6696060</v>
      </c>
      <c r="AJ14" s="39">
        <f t="shared" si="5"/>
        <v>8089200</v>
      </c>
      <c r="AK14" s="39">
        <f t="shared" si="6"/>
        <v>14785260</v>
      </c>
    </row>
    <row r="15" spans="1:37" s="24" customFormat="1" ht="19.149999999999999" customHeight="1" x14ac:dyDescent="0.25">
      <c r="A15" s="218">
        <v>6</v>
      </c>
      <c r="B15" s="219" t="s">
        <v>224</v>
      </c>
      <c r="C15" s="220"/>
      <c r="D15" s="220"/>
      <c r="E15" s="221">
        <f t="shared" si="7"/>
        <v>7.3250500000000001</v>
      </c>
      <c r="F15" s="233">
        <v>4</v>
      </c>
      <c r="G15" s="223">
        <f t="shared" si="8"/>
        <v>2.19</v>
      </c>
      <c r="H15" s="224">
        <v>0.2</v>
      </c>
      <c r="I15" s="232"/>
      <c r="J15" s="225">
        <v>0.63</v>
      </c>
      <c r="K15" s="220"/>
      <c r="L15" s="226"/>
      <c r="M15" s="224">
        <v>0.1</v>
      </c>
      <c r="N15" s="227">
        <f t="shared" si="9"/>
        <v>1.26</v>
      </c>
      <c r="O15" s="146"/>
      <c r="P15" s="227"/>
      <c r="Q15" s="146"/>
      <c r="R15" s="146"/>
      <c r="S15" s="228"/>
      <c r="T15" s="229">
        <f t="shared" si="10"/>
        <v>1.0867500000000001</v>
      </c>
      <c r="U15" s="229">
        <f t="shared" si="11"/>
        <v>4.8300000000000003E-2</v>
      </c>
      <c r="V15" s="229">
        <f t="shared" si="12"/>
        <v>13.185090000000001</v>
      </c>
      <c r="W15" s="230"/>
      <c r="X15" s="195"/>
      <c r="Y15" s="196"/>
      <c r="Z15" s="191">
        <v>4.68</v>
      </c>
      <c r="AA15" s="76">
        <f t="shared" si="13"/>
        <v>0.67999999999999972</v>
      </c>
      <c r="AB15" s="35"/>
      <c r="AC15" s="36"/>
      <c r="AD15" s="181">
        <v>0.25</v>
      </c>
      <c r="AE15" s="97" t="s">
        <v>104</v>
      </c>
      <c r="AF15" s="26">
        <f>(T8+U8)</f>
        <v>51.514185500000004</v>
      </c>
      <c r="AG15" s="38">
        <f t="shared" si="2"/>
        <v>3.6059929850000008</v>
      </c>
      <c r="AH15" s="25">
        <f t="shared" si="3"/>
        <v>55.120178485000004</v>
      </c>
      <c r="AI15" s="39">
        <f t="shared" si="4"/>
        <v>492774395.6559</v>
      </c>
      <c r="AJ15" s="39">
        <f t="shared" si="5"/>
        <v>595297927.63800001</v>
      </c>
      <c r="AK15" s="39">
        <f t="shared" si="6"/>
        <v>1088072323.2939</v>
      </c>
    </row>
    <row r="16" spans="1:37" s="24" customFormat="1" ht="19.149999999999999" customHeight="1" x14ac:dyDescent="0.25">
      <c r="A16" s="218">
        <v>7</v>
      </c>
      <c r="B16" s="219" t="s">
        <v>225</v>
      </c>
      <c r="C16" s="220"/>
      <c r="D16" s="220"/>
      <c r="E16" s="221">
        <f t="shared" si="7"/>
        <v>9.5272124999999992</v>
      </c>
      <c r="F16" s="231">
        <f>4.68+0.34</f>
        <v>5.0199999999999996</v>
      </c>
      <c r="G16" s="223">
        <f t="shared" si="8"/>
        <v>3.0084999999999997</v>
      </c>
      <c r="H16" s="224">
        <v>0.15</v>
      </c>
      <c r="I16" s="232"/>
      <c r="J16" s="225">
        <v>1.2075</v>
      </c>
      <c r="K16" s="220"/>
      <c r="L16" s="226"/>
      <c r="M16" s="224">
        <v>0.1</v>
      </c>
      <c r="N16" s="227">
        <f t="shared" si="9"/>
        <v>1.5509999999999999</v>
      </c>
      <c r="O16" s="146"/>
      <c r="P16" s="227"/>
      <c r="Q16" s="146"/>
      <c r="R16" s="146"/>
      <c r="S16" s="228"/>
      <c r="T16" s="229">
        <f t="shared" si="10"/>
        <v>1.4349375</v>
      </c>
      <c r="U16" s="229">
        <f t="shared" si="11"/>
        <v>6.3774999999999998E-2</v>
      </c>
      <c r="V16" s="229">
        <f t="shared" si="12"/>
        <v>17.148982499999999</v>
      </c>
      <c r="W16" s="230"/>
      <c r="X16" s="195"/>
      <c r="Y16" s="196"/>
      <c r="Z16" s="191">
        <v>4.68</v>
      </c>
      <c r="AA16" s="76">
        <f t="shared" si="13"/>
        <v>-0.33999999999999986</v>
      </c>
      <c r="AB16" s="35"/>
      <c r="AC16" s="36"/>
      <c r="AD16" s="181">
        <v>0.25</v>
      </c>
      <c r="AE16" s="97"/>
      <c r="AF16" s="26">
        <f>SUM(AF8:AF15)</f>
        <v>329.62248549999998</v>
      </c>
      <c r="AK16" s="40">
        <f>SUM(AK8:AK15)</f>
        <v>6962220214.2339001</v>
      </c>
    </row>
    <row r="17" spans="1:37" s="24" customFormat="1" ht="19.149999999999999" customHeight="1" x14ac:dyDescent="0.25">
      <c r="A17" s="218">
        <v>8</v>
      </c>
      <c r="B17" s="219" t="s">
        <v>226</v>
      </c>
      <c r="C17" s="220"/>
      <c r="D17" s="220"/>
      <c r="E17" s="221">
        <f t="shared" si="7"/>
        <v>7.9659475000000004</v>
      </c>
      <c r="F17" s="222">
        <f>4+0.34</f>
        <v>4.34</v>
      </c>
      <c r="G17" s="223">
        <f t="shared" si="8"/>
        <v>2.3855000000000004</v>
      </c>
      <c r="H17" s="224">
        <v>0.15</v>
      </c>
      <c r="I17" s="232"/>
      <c r="J17" s="225">
        <v>0.78850000000000009</v>
      </c>
      <c r="K17" s="220"/>
      <c r="L17" s="226"/>
      <c r="M17" s="224">
        <v>0.1</v>
      </c>
      <c r="N17" s="227">
        <f t="shared" si="9"/>
        <v>1.347</v>
      </c>
      <c r="O17" s="146"/>
      <c r="P17" s="227"/>
      <c r="Q17" s="146"/>
      <c r="R17" s="146"/>
      <c r="S17" s="228"/>
      <c r="T17" s="229">
        <f t="shared" si="10"/>
        <v>1.1876625000000001</v>
      </c>
      <c r="U17" s="229">
        <f t="shared" si="11"/>
        <v>5.2785000000000006E-2</v>
      </c>
      <c r="V17" s="229">
        <f t="shared" si="12"/>
        <v>14.338705500000001</v>
      </c>
      <c r="W17" s="230"/>
      <c r="X17" s="195"/>
      <c r="Y17" s="196"/>
      <c r="Z17" s="191">
        <v>4.68</v>
      </c>
      <c r="AA17" s="76">
        <f t="shared" si="13"/>
        <v>0.33999999999999986</v>
      </c>
      <c r="AB17" s="35"/>
      <c r="AC17" s="36"/>
      <c r="AD17" s="181">
        <v>0.26</v>
      </c>
      <c r="AE17" s="97"/>
      <c r="AF17" s="97"/>
      <c r="AK17" s="40">
        <f>AK9+AK10+AK11+AK12+AK13+AK14</f>
        <v>1962601748.9399993</v>
      </c>
    </row>
    <row r="18" spans="1:37" s="24" customFormat="1" ht="19.149999999999999" customHeight="1" x14ac:dyDescent="0.25">
      <c r="A18" s="218">
        <v>9</v>
      </c>
      <c r="B18" s="219" t="s">
        <v>227</v>
      </c>
      <c r="C18" s="220"/>
      <c r="D18" s="220"/>
      <c r="E18" s="221">
        <f t="shared" si="7"/>
        <v>8.6785315000000001</v>
      </c>
      <c r="F18" s="231">
        <f>4.34+0.34</f>
        <v>4.68</v>
      </c>
      <c r="G18" s="223">
        <f t="shared" si="8"/>
        <v>2.6419000000000001</v>
      </c>
      <c r="H18" s="224">
        <v>0.15</v>
      </c>
      <c r="I18" s="232"/>
      <c r="J18" s="225">
        <v>0.94289999999999996</v>
      </c>
      <c r="K18" s="220"/>
      <c r="L18" s="226"/>
      <c r="M18" s="224">
        <v>0.1</v>
      </c>
      <c r="N18" s="227">
        <f t="shared" si="9"/>
        <v>1.4490000000000001</v>
      </c>
      <c r="O18" s="146"/>
      <c r="P18" s="227"/>
      <c r="Q18" s="146"/>
      <c r="R18" s="146"/>
      <c r="S18" s="228"/>
      <c r="T18" s="229">
        <f t="shared" si="10"/>
        <v>1.2989025000000001</v>
      </c>
      <c r="U18" s="229">
        <f t="shared" si="11"/>
        <v>5.7729000000000003E-2</v>
      </c>
      <c r="V18" s="229">
        <f t="shared" si="12"/>
        <v>15.6213567</v>
      </c>
      <c r="W18" s="230"/>
      <c r="X18" s="195"/>
      <c r="Y18" s="196"/>
      <c r="Z18" s="191">
        <v>5.0199999999999996</v>
      </c>
      <c r="AA18" s="76">
        <f t="shared" si="13"/>
        <v>0.33999999999999986</v>
      </c>
      <c r="AB18" s="35"/>
      <c r="AC18" s="36"/>
      <c r="AD18" s="181">
        <v>0.25</v>
      </c>
      <c r="AE18" s="97"/>
      <c r="AF18" s="97"/>
    </row>
    <row r="19" spans="1:37" s="24" customFormat="1" ht="19.149999999999999" customHeight="1" x14ac:dyDescent="0.25">
      <c r="A19" s="218">
        <v>10</v>
      </c>
      <c r="B19" s="219" t="s">
        <v>228</v>
      </c>
      <c r="C19" s="220"/>
      <c r="D19" s="220"/>
      <c r="E19" s="221">
        <f t="shared" si="7"/>
        <v>8.4093789999999995</v>
      </c>
      <c r="F19" s="231">
        <f>4.34+0.34</f>
        <v>4.68</v>
      </c>
      <c r="G19" s="223">
        <f t="shared" si="8"/>
        <v>2.4154</v>
      </c>
      <c r="H19" s="224"/>
      <c r="I19" s="232"/>
      <c r="J19" s="225">
        <v>0.91139999999999999</v>
      </c>
      <c r="K19" s="220"/>
      <c r="L19" s="226"/>
      <c r="M19" s="224">
        <v>0.1</v>
      </c>
      <c r="N19" s="227">
        <f t="shared" si="9"/>
        <v>1.4039999999999999</v>
      </c>
      <c r="O19" s="146"/>
      <c r="P19" s="227"/>
      <c r="Q19" s="146"/>
      <c r="R19" s="146"/>
      <c r="S19" s="228"/>
      <c r="T19" s="229">
        <f t="shared" si="10"/>
        <v>1.258065</v>
      </c>
      <c r="U19" s="229">
        <f t="shared" si="11"/>
        <v>5.5914000000000005E-2</v>
      </c>
      <c r="V19" s="229">
        <f t="shared" si="12"/>
        <v>15.136882199999999</v>
      </c>
      <c r="W19" s="230"/>
      <c r="X19" s="195"/>
      <c r="Y19" s="196"/>
      <c r="Z19" s="190">
        <v>5.0199999999999996</v>
      </c>
      <c r="AA19" s="76">
        <f t="shared" si="13"/>
        <v>0.33999999999999986</v>
      </c>
      <c r="AB19" s="35"/>
      <c r="AC19" s="36"/>
      <c r="AD19" s="181">
        <v>0.23</v>
      </c>
      <c r="AE19" s="97"/>
      <c r="AF19" s="97"/>
    </row>
    <row r="20" spans="1:37" s="24" customFormat="1" ht="19.149999999999999" customHeight="1" x14ac:dyDescent="0.25">
      <c r="A20" s="218">
        <v>11</v>
      </c>
      <c r="B20" s="219" t="s">
        <v>229</v>
      </c>
      <c r="C20" s="220"/>
      <c r="D20" s="220"/>
      <c r="E20" s="221">
        <f t="shared" si="7"/>
        <v>9.2971120000000003</v>
      </c>
      <c r="F20" s="231">
        <f>4.58+0.31</f>
        <v>4.8899999999999997</v>
      </c>
      <c r="G20" s="223">
        <f t="shared" si="8"/>
        <v>2.9361999999999999</v>
      </c>
      <c r="H20" s="224"/>
      <c r="I20" s="232"/>
      <c r="J20" s="225">
        <v>1.3692</v>
      </c>
      <c r="K20" s="220"/>
      <c r="L20" s="226"/>
      <c r="M20" s="224">
        <v>0.1</v>
      </c>
      <c r="N20" s="227">
        <f t="shared" si="9"/>
        <v>1.4669999999999999</v>
      </c>
      <c r="O20" s="146"/>
      <c r="P20" s="227"/>
      <c r="Q20" s="146"/>
      <c r="R20" s="146"/>
      <c r="S20" s="228"/>
      <c r="T20" s="229">
        <f t="shared" si="10"/>
        <v>1.40832</v>
      </c>
      <c r="U20" s="229">
        <f t="shared" si="11"/>
        <v>6.2591999999999995E-2</v>
      </c>
      <c r="V20" s="229">
        <f t="shared" si="12"/>
        <v>16.734801600000001</v>
      </c>
      <c r="W20" s="230"/>
      <c r="X20" s="195"/>
      <c r="Y20" s="196"/>
      <c r="Z20" s="191">
        <v>5.0199999999999996</v>
      </c>
      <c r="AA20" s="76">
        <f t="shared" si="13"/>
        <v>0.12999999999999989</v>
      </c>
      <c r="AB20" s="35"/>
      <c r="AC20" s="36"/>
      <c r="AD20" s="181">
        <v>0.23</v>
      </c>
      <c r="AE20" s="97"/>
      <c r="AF20" s="97"/>
    </row>
    <row r="21" spans="1:37" s="24" customFormat="1" ht="19.149999999999999" customHeight="1" x14ac:dyDescent="0.25">
      <c r="A21" s="218">
        <v>12</v>
      </c>
      <c r="B21" s="219" t="s">
        <v>230</v>
      </c>
      <c r="C21" s="220"/>
      <c r="D21" s="220"/>
      <c r="E21" s="221">
        <f t="shared" si="7"/>
        <v>8.5553559999999997</v>
      </c>
      <c r="F21" s="231">
        <f>4.34+0.34</f>
        <v>4.68</v>
      </c>
      <c r="G21" s="223">
        <f t="shared" si="8"/>
        <v>2.5335999999999999</v>
      </c>
      <c r="H21" s="224"/>
      <c r="I21" s="232"/>
      <c r="J21" s="225">
        <v>1.0295999999999998</v>
      </c>
      <c r="K21" s="220"/>
      <c r="L21" s="226"/>
      <c r="M21" s="224">
        <v>0.1</v>
      </c>
      <c r="N21" s="227">
        <f t="shared" si="9"/>
        <v>1.4039999999999999</v>
      </c>
      <c r="O21" s="146"/>
      <c r="P21" s="227"/>
      <c r="Q21" s="146"/>
      <c r="R21" s="146"/>
      <c r="S21" s="228"/>
      <c r="T21" s="229">
        <f t="shared" si="10"/>
        <v>1.2846600000000001</v>
      </c>
      <c r="U21" s="229">
        <f t="shared" si="11"/>
        <v>5.7096000000000001E-2</v>
      </c>
      <c r="V21" s="229">
        <f t="shared" si="12"/>
        <v>15.3996408</v>
      </c>
      <c r="W21" s="230"/>
      <c r="X21" s="195"/>
      <c r="Y21" s="196"/>
      <c r="Z21" s="191">
        <v>5.0199999999999996</v>
      </c>
      <c r="AA21" s="76">
        <f t="shared" si="13"/>
        <v>0.33999999999999986</v>
      </c>
      <c r="AB21" s="35"/>
      <c r="AC21" s="36"/>
      <c r="AD21" s="181">
        <v>0.23</v>
      </c>
      <c r="AE21" s="97"/>
      <c r="AF21" s="97"/>
    </row>
    <row r="22" spans="1:37" s="24" customFormat="1" ht="19.149999999999999" customHeight="1" x14ac:dyDescent="0.25">
      <c r="A22" s="218">
        <v>13</v>
      </c>
      <c r="B22" s="219" t="s">
        <v>231</v>
      </c>
      <c r="C22" s="220"/>
      <c r="D22" s="220"/>
      <c r="E22" s="221">
        <f t="shared" si="7"/>
        <v>9.3556249999999981</v>
      </c>
      <c r="F22" s="231">
        <v>5.0199999999999996</v>
      </c>
      <c r="G22" s="223">
        <f t="shared" si="8"/>
        <v>2.8609999999999998</v>
      </c>
      <c r="H22" s="224"/>
      <c r="I22" s="232"/>
      <c r="J22" s="225">
        <v>1.2549999999999999</v>
      </c>
      <c r="K22" s="220"/>
      <c r="L22" s="226"/>
      <c r="M22" s="224">
        <v>0.1</v>
      </c>
      <c r="N22" s="227">
        <f t="shared" si="9"/>
        <v>1.5059999999999998</v>
      </c>
      <c r="O22" s="146"/>
      <c r="P22" s="227"/>
      <c r="Q22" s="146"/>
      <c r="R22" s="146"/>
      <c r="S22" s="228"/>
      <c r="T22" s="229">
        <f t="shared" si="10"/>
        <v>1.411875</v>
      </c>
      <c r="U22" s="229">
        <f t="shared" si="11"/>
        <v>6.275E-2</v>
      </c>
      <c r="V22" s="229">
        <f t="shared" si="12"/>
        <v>16.840124999999997</v>
      </c>
      <c r="W22" s="230"/>
      <c r="X22" s="195"/>
      <c r="Y22" s="196"/>
      <c r="Z22" s="191">
        <v>5.0199999999999996</v>
      </c>
      <c r="AA22" s="76">
        <f t="shared" si="13"/>
        <v>0</v>
      </c>
      <c r="AB22" s="35"/>
      <c r="AC22" s="36"/>
      <c r="AD22" s="181">
        <v>0.24</v>
      </c>
      <c r="AE22" s="97"/>
      <c r="AF22" s="97"/>
    </row>
    <row r="23" spans="1:37" s="24" customFormat="1" ht="19.149999999999999" customHeight="1" x14ac:dyDescent="0.25">
      <c r="A23" s="218">
        <v>14</v>
      </c>
      <c r="B23" s="219" t="s">
        <v>232</v>
      </c>
      <c r="C23" s="220"/>
      <c r="D23" s="220"/>
      <c r="E23" s="221">
        <f t="shared" si="7"/>
        <v>9.3556249999999981</v>
      </c>
      <c r="F23" s="231">
        <f>4.68+0.34</f>
        <v>5.0199999999999996</v>
      </c>
      <c r="G23" s="223">
        <f t="shared" si="8"/>
        <v>2.8609999999999998</v>
      </c>
      <c r="H23" s="224"/>
      <c r="I23" s="232"/>
      <c r="J23" s="225">
        <v>1.2549999999999999</v>
      </c>
      <c r="K23" s="220"/>
      <c r="L23" s="226"/>
      <c r="M23" s="224">
        <v>0.1</v>
      </c>
      <c r="N23" s="227">
        <f t="shared" si="9"/>
        <v>1.5059999999999998</v>
      </c>
      <c r="O23" s="146"/>
      <c r="P23" s="227"/>
      <c r="Q23" s="146"/>
      <c r="R23" s="146"/>
      <c r="S23" s="228"/>
      <c r="T23" s="229">
        <f t="shared" si="10"/>
        <v>1.411875</v>
      </c>
      <c r="U23" s="229">
        <f t="shared" si="11"/>
        <v>6.275E-2</v>
      </c>
      <c r="V23" s="229">
        <f t="shared" si="12"/>
        <v>16.840124999999997</v>
      </c>
      <c r="W23" s="230"/>
      <c r="X23" s="195"/>
      <c r="Y23" s="196"/>
      <c r="Z23" s="191">
        <v>4.68</v>
      </c>
      <c r="AA23" s="76">
        <f t="shared" si="13"/>
        <v>-0.33999999999999986</v>
      </c>
      <c r="AB23" s="35"/>
      <c r="AC23" s="36"/>
      <c r="AD23" s="181">
        <v>0.23</v>
      </c>
      <c r="AE23" s="97"/>
      <c r="AF23" s="97"/>
    </row>
    <row r="24" spans="1:37" s="24" customFormat="1" ht="19.149999999999999" customHeight="1" x14ac:dyDescent="0.25">
      <c r="A24" s="234">
        <v>15</v>
      </c>
      <c r="B24" s="219" t="s">
        <v>233</v>
      </c>
      <c r="C24" s="220"/>
      <c r="D24" s="220"/>
      <c r="E24" s="221">
        <f t="shared" si="7"/>
        <v>9.4782864999999994</v>
      </c>
      <c r="F24" s="231">
        <v>4.8899999999999997</v>
      </c>
      <c r="G24" s="223">
        <f t="shared" si="8"/>
        <v>3.0828999999999995</v>
      </c>
      <c r="H24" s="224"/>
      <c r="I24" s="232"/>
      <c r="J24" s="225">
        <v>1.5158999999999998</v>
      </c>
      <c r="K24" s="220"/>
      <c r="L24" s="226"/>
      <c r="M24" s="224">
        <v>0.1</v>
      </c>
      <c r="N24" s="227">
        <f t="shared" si="9"/>
        <v>1.4669999999999999</v>
      </c>
      <c r="O24" s="146"/>
      <c r="P24" s="227"/>
      <c r="Q24" s="146"/>
      <c r="R24" s="146"/>
      <c r="S24" s="228"/>
      <c r="T24" s="229">
        <f t="shared" si="10"/>
        <v>1.4413274999999999</v>
      </c>
      <c r="U24" s="229">
        <f t="shared" si="11"/>
        <v>6.4058999999999991E-2</v>
      </c>
      <c r="V24" s="229">
        <f t="shared" si="12"/>
        <v>17.060915699999999</v>
      </c>
      <c r="W24" s="230"/>
      <c r="X24" s="195"/>
      <c r="Y24" s="196"/>
      <c r="Z24" s="191">
        <v>4.68</v>
      </c>
      <c r="AA24" s="76">
        <f t="shared" si="13"/>
        <v>-0.20999999999999996</v>
      </c>
      <c r="AB24" s="35"/>
      <c r="AC24" s="36"/>
      <c r="AD24" s="181">
        <v>0.21</v>
      </c>
      <c r="AE24" s="97"/>
      <c r="AF24" s="97"/>
    </row>
    <row r="25" spans="1:37" s="24" customFormat="1" ht="19.149999999999999" customHeight="1" x14ac:dyDescent="0.25">
      <c r="A25" s="234">
        <v>16</v>
      </c>
      <c r="B25" s="219" t="s">
        <v>234</v>
      </c>
      <c r="C25" s="220"/>
      <c r="D25" s="220"/>
      <c r="E25" s="221">
        <f t="shared" si="7"/>
        <v>9.2971120000000003</v>
      </c>
      <c r="F25" s="231">
        <v>4.8899999999999997</v>
      </c>
      <c r="G25" s="223">
        <f t="shared" si="8"/>
        <v>2.9361999999999999</v>
      </c>
      <c r="H25" s="224"/>
      <c r="I25" s="220"/>
      <c r="J25" s="225">
        <v>1.3692</v>
      </c>
      <c r="K25" s="220"/>
      <c r="L25" s="226"/>
      <c r="M25" s="224">
        <v>0.1</v>
      </c>
      <c r="N25" s="227">
        <f t="shared" si="9"/>
        <v>1.4669999999999999</v>
      </c>
      <c r="O25" s="146"/>
      <c r="P25" s="227"/>
      <c r="Q25" s="146"/>
      <c r="R25" s="146"/>
      <c r="S25" s="228"/>
      <c r="T25" s="229">
        <f t="shared" si="10"/>
        <v>1.40832</v>
      </c>
      <c r="U25" s="229">
        <f t="shared" si="11"/>
        <v>6.2591999999999995E-2</v>
      </c>
      <c r="V25" s="229">
        <f t="shared" si="12"/>
        <v>16.734801600000001</v>
      </c>
      <c r="W25" s="230"/>
      <c r="X25" s="195"/>
      <c r="Y25" s="196"/>
      <c r="Z25" s="191">
        <v>4.34</v>
      </c>
      <c r="AA25" s="76">
        <f t="shared" si="13"/>
        <v>-0.54999999999999982</v>
      </c>
      <c r="AB25" s="35"/>
      <c r="AC25" s="36"/>
      <c r="AD25" s="181">
        <v>0.22</v>
      </c>
      <c r="AE25" s="97"/>
      <c r="AF25" s="97"/>
    </row>
    <row r="26" spans="1:37" s="24" customFormat="1" ht="19.149999999999999" customHeight="1" x14ac:dyDescent="0.25">
      <c r="A26" s="234">
        <v>17</v>
      </c>
      <c r="B26" s="219" t="s">
        <v>235</v>
      </c>
      <c r="C26" s="220"/>
      <c r="D26" s="220"/>
      <c r="E26" s="221">
        <f t="shared" si="7"/>
        <v>8.6575009999999999</v>
      </c>
      <c r="F26" s="231">
        <v>4.58</v>
      </c>
      <c r="G26" s="223">
        <f t="shared" si="8"/>
        <v>2.7106000000000003</v>
      </c>
      <c r="H26" s="224"/>
      <c r="I26" s="220"/>
      <c r="J26" s="225">
        <v>1.2366000000000001</v>
      </c>
      <c r="K26" s="220"/>
      <c r="L26" s="226"/>
      <c r="M26" s="224">
        <v>0.1</v>
      </c>
      <c r="N26" s="227">
        <f t="shared" si="9"/>
        <v>1.3739999999999999</v>
      </c>
      <c r="O26" s="146"/>
      <c r="P26" s="227"/>
      <c r="Q26" s="146"/>
      <c r="R26" s="146"/>
      <c r="S26" s="228"/>
      <c r="T26" s="229">
        <f t="shared" si="10"/>
        <v>1.308735</v>
      </c>
      <c r="U26" s="229">
        <f t="shared" si="11"/>
        <v>5.8166000000000002E-2</v>
      </c>
      <c r="V26" s="229">
        <f t="shared" si="12"/>
        <v>15.583501800000001</v>
      </c>
      <c r="W26" s="230"/>
      <c r="X26" s="195"/>
      <c r="Y26" s="196"/>
      <c r="Z26" s="190">
        <v>4.68</v>
      </c>
      <c r="AA26" s="76">
        <f t="shared" si="13"/>
        <v>9.9999999999999645E-2</v>
      </c>
      <c r="AB26" s="35"/>
      <c r="AC26" s="36"/>
      <c r="AD26" s="181">
        <v>0.2</v>
      </c>
      <c r="AE26" s="97"/>
      <c r="AF26" s="97"/>
    </row>
    <row r="27" spans="1:37" s="24" customFormat="1" ht="19.149999999999999" customHeight="1" x14ac:dyDescent="0.25">
      <c r="A27" s="234">
        <v>18</v>
      </c>
      <c r="B27" s="219" t="s">
        <v>236</v>
      </c>
      <c r="C27" s="220"/>
      <c r="D27" s="220"/>
      <c r="E27" s="221">
        <f t="shared" si="7"/>
        <v>8.7287499999999998</v>
      </c>
      <c r="F27" s="231">
        <v>4.68</v>
      </c>
      <c r="G27" s="223">
        <f t="shared" si="8"/>
        <v>2.6739999999999999</v>
      </c>
      <c r="H27" s="224"/>
      <c r="I27" s="220"/>
      <c r="J27" s="225">
        <v>1.17</v>
      </c>
      <c r="K27" s="220"/>
      <c r="L27" s="226"/>
      <c r="M27" s="224">
        <v>0.1</v>
      </c>
      <c r="N27" s="227">
        <f t="shared" si="9"/>
        <v>1.4039999999999999</v>
      </c>
      <c r="O27" s="146"/>
      <c r="P27" s="227"/>
      <c r="Q27" s="146"/>
      <c r="R27" s="146"/>
      <c r="S27" s="228"/>
      <c r="T27" s="229">
        <f t="shared" si="10"/>
        <v>1.3162499999999999</v>
      </c>
      <c r="U27" s="229">
        <f t="shared" si="11"/>
        <v>5.8499999999999996E-2</v>
      </c>
      <c r="V27" s="229">
        <f t="shared" si="12"/>
        <v>15.71175</v>
      </c>
      <c r="W27" s="230"/>
      <c r="X27" s="195"/>
      <c r="Y27" s="196"/>
      <c r="Z27" s="191">
        <v>4</v>
      </c>
      <c r="AA27" s="76">
        <f t="shared" si="13"/>
        <v>-0.67999999999999972</v>
      </c>
      <c r="AB27" s="35"/>
      <c r="AC27" s="36"/>
      <c r="AD27" s="181">
        <v>0.15</v>
      </c>
      <c r="AE27" s="97"/>
      <c r="AF27" s="97"/>
    </row>
    <row r="28" spans="1:37" s="24" customFormat="1" ht="19.149999999999999" customHeight="1" x14ac:dyDescent="0.25">
      <c r="A28" s="234">
        <v>19</v>
      </c>
      <c r="B28" s="219" t="s">
        <v>237</v>
      </c>
      <c r="C28" s="220"/>
      <c r="D28" s="220"/>
      <c r="E28" s="221">
        <f t="shared" si="7"/>
        <v>9.5893900000000016</v>
      </c>
      <c r="F28" s="231">
        <f>4.65+0.33</f>
        <v>4.9800000000000004</v>
      </c>
      <c r="G28" s="223">
        <f t="shared" si="8"/>
        <v>3.0880000000000001</v>
      </c>
      <c r="H28" s="224"/>
      <c r="I28" s="220"/>
      <c r="J28" s="225">
        <v>1.494</v>
      </c>
      <c r="K28" s="220"/>
      <c r="L28" s="226"/>
      <c r="M28" s="224">
        <v>0.1</v>
      </c>
      <c r="N28" s="227">
        <f t="shared" si="9"/>
        <v>1.494</v>
      </c>
      <c r="O28" s="146"/>
      <c r="P28" s="227"/>
      <c r="Q28" s="146"/>
      <c r="R28" s="146"/>
      <c r="S28" s="228"/>
      <c r="T28" s="229">
        <f t="shared" si="10"/>
        <v>1.45665</v>
      </c>
      <c r="U28" s="229">
        <f t="shared" si="11"/>
        <v>6.4740000000000006E-2</v>
      </c>
      <c r="V28" s="229">
        <f t="shared" si="12"/>
        <v>17.260902000000005</v>
      </c>
      <c r="W28" s="230"/>
      <c r="X28" s="195"/>
      <c r="Y28" s="196"/>
      <c r="Z28" s="191">
        <v>4.34</v>
      </c>
      <c r="AA28" s="76">
        <f t="shared" si="13"/>
        <v>-0.64000000000000057</v>
      </c>
      <c r="AB28" s="35"/>
      <c r="AC28" s="36"/>
      <c r="AD28" s="181">
        <v>0.18</v>
      </c>
      <c r="AE28" s="97"/>
      <c r="AF28" s="97"/>
    </row>
    <row r="29" spans="1:37" s="24" customFormat="1" ht="19.149999999999999" customHeight="1" x14ac:dyDescent="0.25">
      <c r="A29" s="234">
        <v>20</v>
      </c>
      <c r="B29" s="219" t="s">
        <v>238</v>
      </c>
      <c r="C29" s="220"/>
      <c r="D29" s="220"/>
      <c r="E29" s="221">
        <f t="shared" si="7"/>
        <v>8.5553559999999997</v>
      </c>
      <c r="F29" s="231">
        <f>4.34+0.34</f>
        <v>4.68</v>
      </c>
      <c r="G29" s="223">
        <f t="shared" si="8"/>
        <v>2.5335999999999999</v>
      </c>
      <c r="H29" s="224"/>
      <c r="I29" s="220"/>
      <c r="J29" s="225">
        <v>1.0295999999999998</v>
      </c>
      <c r="K29" s="220"/>
      <c r="L29" s="226"/>
      <c r="M29" s="224">
        <v>0.1</v>
      </c>
      <c r="N29" s="227">
        <f t="shared" si="9"/>
        <v>1.4039999999999999</v>
      </c>
      <c r="O29" s="146"/>
      <c r="P29" s="227"/>
      <c r="Q29" s="146"/>
      <c r="R29" s="146"/>
      <c r="S29" s="228"/>
      <c r="T29" s="229">
        <f t="shared" si="10"/>
        <v>1.2846600000000001</v>
      </c>
      <c r="U29" s="229">
        <f t="shared" si="11"/>
        <v>5.7096000000000001E-2</v>
      </c>
      <c r="V29" s="229">
        <f t="shared" si="12"/>
        <v>15.3996408</v>
      </c>
      <c r="W29" s="230"/>
      <c r="X29" s="195"/>
      <c r="Y29" s="196"/>
      <c r="Z29" s="191">
        <v>4</v>
      </c>
      <c r="AA29" s="76">
        <f t="shared" si="13"/>
        <v>-0.67999999999999972</v>
      </c>
      <c r="AB29" s="35"/>
      <c r="AC29" s="36"/>
      <c r="AD29" s="181">
        <v>0.18</v>
      </c>
      <c r="AE29" s="97"/>
      <c r="AF29" s="97"/>
    </row>
    <row r="30" spans="1:37" s="287" customFormat="1" ht="19.149999999999999" customHeight="1" x14ac:dyDescent="0.25">
      <c r="A30" s="234">
        <v>21</v>
      </c>
      <c r="B30" s="219" t="s">
        <v>239</v>
      </c>
      <c r="C30" s="220"/>
      <c r="D30" s="220"/>
      <c r="E30" s="221">
        <f t="shared" si="7"/>
        <v>7.6017000000000001</v>
      </c>
      <c r="F30" s="222">
        <f>4+0.34</f>
        <v>4.34</v>
      </c>
      <c r="G30" s="223">
        <f t="shared" si="8"/>
        <v>2.0819999999999999</v>
      </c>
      <c r="H30" s="224"/>
      <c r="I30" s="220"/>
      <c r="J30" s="225">
        <v>0.68</v>
      </c>
      <c r="K30" s="220"/>
      <c r="L30" s="226"/>
      <c r="M30" s="224">
        <v>0.1</v>
      </c>
      <c r="N30" s="225">
        <f t="shared" si="9"/>
        <v>1.3019999999999998</v>
      </c>
      <c r="O30" s="220"/>
      <c r="P30" s="225"/>
      <c r="Q30" s="220"/>
      <c r="R30" s="220"/>
      <c r="S30" s="228"/>
      <c r="T30" s="223">
        <f t="shared" si="10"/>
        <v>1.1294999999999999</v>
      </c>
      <c r="U30" s="223">
        <f t="shared" si="11"/>
        <v>5.0199999999999995E-2</v>
      </c>
      <c r="V30" s="223">
        <f t="shared" si="12"/>
        <v>13.683060000000001</v>
      </c>
      <c r="W30" s="232"/>
      <c r="X30" s="277"/>
      <c r="Y30" s="278"/>
      <c r="Z30" s="191">
        <v>4</v>
      </c>
      <c r="AA30" s="279">
        <f t="shared" si="13"/>
        <v>-0.33999999999999986</v>
      </c>
      <c r="AB30" s="280"/>
      <c r="AC30" s="281"/>
      <c r="AD30" s="181">
        <v>0.16</v>
      </c>
      <c r="AE30" s="282"/>
      <c r="AF30" s="282"/>
    </row>
    <row r="31" spans="1:37" s="287" customFormat="1" ht="19.149999999999999" customHeight="1" x14ac:dyDescent="0.25">
      <c r="A31" s="234">
        <v>22</v>
      </c>
      <c r="B31" s="219" t="s">
        <v>240</v>
      </c>
      <c r="C31" s="220"/>
      <c r="D31" s="220"/>
      <c r="E31" s="221">
        <f t="shared" si="7"/>
        <v>7.0798000000000005</v>
      </c>
      <c r="F31" s="222">
        <v>4</v>
      </c>
      <c r="G31" s="223">
        <f t="shared" si="8"/>
        <v>1.98</v>
      </c>
      <c r="H31" s="224"/>
      <c r="I31" s="220"/>
      <c r="J31" s="225">
        <v>0.68</v>
      </c>
      <c r="K31" s="220"/>
      <c r="L31" s="226"/>
      <c r="M31" s="224">
        <v>0.1</v>
      </c>
      <c r="N31" s="225">
        <f t="shared" si="9"/>
        <v>1.2</v>
      </c>
      <c r="O31" s="220"/>
      <c r="P31" s="225"/>
      <c r="Q31" s="220"/>
      <c r="R31" s="220"/>
      <c r="S31" s="228"/>
      <c r="T31" s="223">
        <f t="shared" si="10"/>
        <v>1.0529999999999999</v>
      </c>
      <c r="U31" s="223">
        <f t="shared" si="11"/>
        <v>4.6800000000000001E-2</v>
      </c>
      <c r="V31" s="223">
        <f t="shared" si="12"/>
        <v>12.743640000000001</v>
      </c>
      <c r="W31" s="232"/>
      <c r="X31" s="277"/>
      <c r="Y31" s="278"/>
      <c r="Z31" s="191">
        <v>3.99</v>
      </c>
      <c r="AA31" s="279">
        <f t="shared" si="13"/>
        <v>-9.9999999999997868E-3</v>
      </c>
      <c r="AB31" s="280"/>
      <c r="AC31" s="281"/>
      <c r="AD31" s="181">
        <v>0.18</v>
      </c>
      <c r="AE31" s="282"/>
      <c r="AF31" s="282"/>
    </row>
    <row r="32" spans="1:37" s="287" customFormat="1" ht="19.149999999999999" customHeight="1" x14ac:dyDescent="0.25">
      <c r="A32" s="234">
        <v>23</v>
      </c>
      <c r="B32" s="219" t="s">
        <v>241</v>
      </c>
      <c r="C32" s="220"/>
      <c r="D32" s="220"/>
      <c r="E32" s="221">
        <f t="shared" si="7"/>
        <v>7.0798000000000005</v>
      </c>
      <c r="F32" s="222">
        <v>4</v>
      </c>
      <c r="G32" s="223">
        <f t="shared" si="8"/>
        <v>1.98</v>
      </c>
      <c r="H32" s="224"/>
      <c r="I32" s="220"/>
      <c r="J32" s="225">
        <v>0.68</v>
      </c>
      <c r="K32" s="220"/>
      <c r="L32" s="226"/>
      <c r="M32" s="224">
        <v>0.1</v>
      </c>
      <c r="N32" s="225">
        <f t="shared" si="9"/>
        <v>1.2</v>
      </c>
      <c r="O32" s="220"/>
      <c r="P32" s="225"/>
      <c r="Q32" s="220"/>
      <c r="R32" s="220"/>
      <c r="S32" s="228"/>
      <c r="T32" s="223">
        <f t="shared" si="10"/>
        <v>1.0529999999999999</v>
      </c>
      <c r="U32" s="223">
        <f t="shared" si="11"/>
        <v>4.6800000000000001E-2</v>
      </c>
      <c r="V32" s="223">
        <f t="shared" si="12"/>
        <v>12.743640000000001</v>
      </c>
      <c r="W32" s="232"/>
      <c r="X32" s="277"/>
      <c r="Y32" s="278"/>
      <c r="Z32" s="191">
        <v>4.34</v>
      </c>
      <c r="AA32" s="279">
        <f t="shared" si="13"/>
        <v>0.33999999999999986</v>
      </c>
      <c r="AB32" s="280"/>
      <c r="AC32" s="281"/>
      <c r="AD32" s="181">
        <v>0.16</v>
      </c>
      <c r="AE32" s="282"/>
      <c r="AF32" s="282"/>
    </row>
    <row r="33" spans="1:32" s="287" customFormat="1" ht="19.149999999999999" customHeight="1" x14ac:dyDescent="0.25">
      <c r="A33" s="234">
        <v>24</v>
      </c>
      <c r="B33" s="219" t="s">
        <v>242</v>
      </c>
      <c r="C33" s="220"/>
      <c r="D33" s="220"/>
      <c r="E33" s="221">
        <f t="shared" si="7"/>
        <v>7.6510999999999996</v>
      </c>
      <c r="F33" s="235">
        <v>4.34</v>
      </c>
      <c r="G33" s="223">
        <f t="shared" si="8"/>
        <v>2.1219999999999999</v>
      </c>
      <c r="H33" s="224"/>
      <c r="I33" s="220"/>
      <c r="J33" s="225">
        <v>0.72</v>
      </c>
      <c r="K33" s="220"/>
      <c r="L33" s="226"/>
      <c r="M33" s="224">
        <v>0.1</v>
      </c>
      <c r="N33" s="225">
        <f t="shared" si="9"/>
        <v>1.3019999999999998</v>
      </c>
      <c r="O33" s="220"/>
      <c r="P33" s="225"/>
      <c r="Q33" s="220"/>
      <c r="R33" s="220"/>
      <c r="S33" s="228"/>
      <c r="T33" s="223">
        <f t="shared" si="10"/>
        <v>1.1384999999999998</v>
      </c>
      <c r="U33" s="223">
        <f t="shared" si="11"/>
        <v>5.0599999999999999E-2</v>
      </c>
      <c r="V33" s="223">
        <f t="shared" si="12"/>
        <v>13.771979999999999</v>
      </c>
      <c r="W33" s="232"/>
      <c r="X33" s="277"/>
      <c r="Y33" s="278"/>
      <c r="Z33" s="190">
        <v>4</v>
      </c>
      <c r="AA33" s="279">
        <f t="shared" si="13"/>
        <v>-0.33999999999999986</v>
      </c>
      <c r="AB33" s="280"/>
      <c r="AC33" s="281"/>
      <c r="AD33" s="181">
        <v>0.15</v>
      </c>
      <c r="AE33" s="282"/>
      <c r="AF33" s="282"/>
    </row>
    <row r="34" spans="1:32" s="287" customFormat="1" ht="19.149999999999999" customHeight="1" x14ac:dyDescent="0.25">
      <c r="A34" s="234">
        <v>25</v>
      </c>
      <c r="B34" s="219" t="s">
        <v>243</v>
      </c>
      <c r="C34" s="220"/>
      <c r="D34" s="220"/>
      <c r="E34" s="221">
        <f t="shared" si="7"/>
        <v>6.4865170000000001</v>
      </c>
      <c r="F34" s="231">
        <v>3.66</v>
      </c>
      <c r="G34" s="223">
        <f t="shared" si="8"/>
        <v>1.8202000000000003</v>
      </c>
      <c r="H34" s="224"/>
      <c r="I34" s="220"/>
      <c r="J34" s="225">
        <v>0.62220000000000009</v>
      </c>
      <c r="K34" s="220"/>
      <c r="L34" s="226"/>
      <c r="M34" s="224">
        <v>0.1</v>
      </c>
      <c r="N34" s="225">
        <f t="shared" si="9"/>
        <v>1.0980000000000001</v>
      </c>
      <c r="O34" s="220"/>
      <c r="P34" s="225"/>
      <c r="Q34" s="220"/>
      <c r="R34" s="220"/>
      <c r="S34" s="228"/>
      <c r="T34" s="223">
        <f t="shared" si="10"/>
        <v>0.9634950000000001</v>
      </c>
      <c r="U34" s="223">
        <f t="shared" si="11"/>
        <v>4.2822000000000006E-2</v>
      </c>
      <c r="V34" s="223">
        <f t="shared" si="12"/>
        <v>11.6757306</v>
      </c>
      <c r="W34" s="232"/>
      <c r="X34" s="277"/>
      <c r="Y34" s="278"/>
      <c r="Z34" s="191">
        <v>4</v>
      </c>
      <c r="AA34" s="279">
        <f t="shared" si="13"/>
        <v>0.33999999999999986</v>
      </c>
      <c r="AB34" s="280"/>
      <c r="AC34" s="281"/>
      <c r="AD34" s="181">
        <v>0.15</v>
      </c>
      <c r="AE34" s="282"/>
      <c r="AF34" s="282"/>
    </row>
    <row r="35" spans="1:32" s="287" customFormat="1" ht="19.149999999999999" customHeight="1" x14ac:dyDescent="0.25">
      <c r="A35" s="234">
        <v>26</v>
      </c>
      <c r="B35" s="219" t="s">
        <v>244</v>
      </c>
      <c r="C35" s="220"/>
      <c r="D35" s="220"/>
      <c r="E35" s="221">
        <f t="shared" si="7"/>
        <v>6.3509140000000004</v>
      </c>
      <c r="F35" s="231">
        <f>3.33+0.33</f>
        <v>3.66</v>
      </c>
      <c r="G35" s="223">
        <f t="shared" si="8"/>
        <v>1.7104000000000001</v>
      </c>
      <c r="H35" s="224"/>
      <c r="I35" s="220"/>
      <c r="J35" s="225">
        <v>0.51240000000000008</v>
      </c>
      <c r="K35" s="220"/>
      <c r="L35" s="226"/>
      <c r="M35" s="224">
        <v>0.1</v>
      </c>
      <c r="N35" s="225">
        <f t="shared" si="9"/>
        <v>1.0980000000000001</v>
      </c>
      <c r="O35" s="220"/>
      <c r="P35" s="225"/>
      <c r="Q35" s="220"/>
      <c r="R35" s="220"/>
      <c r="S35" s="228"/>
      <c r="T35" s="223">
        <f t="shared" si="10"/>
        <v>0.93879000000000012</v>
      </c>
      <c r="U35" s="223">
        <f t="shared" si="11"/>
        <v>4.1724000000000004E-2</v>
      </c>
      <c r="V35" s="223">
        <f t="shared" si="12"/>
        <v>11.4316452</v>
      </c>
      <c r="W35" s="232"/>
      <c r="X35" s="277"/>
      <c r="Y35" s="278"/>
      <c r="Z35" s="191">
        <v>3.66</v>
      </c>
      <c r="AA35" s="279">
        <f t="shared" si="13"/>
        <v>0</v>
      </c>
      <c r="AB35" s="280"/>
      <c r="AC35" s="281"/>
      <c r="AD35" s="181">
        <v>0.14000000000000001</v>
      </c>
      <c r="AE35" s="282"/>
      <c r="AF35" s="282"/>
    </row>
    <row r="36" spans="1:32" s="287" customFormat="1" ht="19.149999999999999" customHeight="1" x14ac:dyDescent="0.25">
      <c r="A36" s="234">
        <v>27</v>
      </c>
      <c r="B36" s="219" t="s">
        <v>245</v>
      </c>
      <c r="C36" s="220"/>
      <c r="D36" s="220"/>
      <c r="E36" s="221">
        <f t="shared" si="7"/>
        <v>7.4535</v>
      </c>
      <c r="F36" s="222">
        <f>4+0.34</f>
        <v>4.34</v>
      </c>
      <c r="G36" s="223">
        <f t="shared" si="8"/>
        <v>1.9619999999999997</v>
      </c>
      <c r="H36" s="224"/>
      <c r="I36" s="220"/>
      <c r="J36" s="225">
        <v>0.56000000000000005</v>
      </c>
      <c r="K36" s="220"/>
      <c r="L36" s="226"/>
      <c r="M36" s="224">
        <v>0.1</v>
      </c>
      <c r="N36" s="225">
        <f t="shared" si="9"/>
        <v>1.3019999999999998</v>
      </c>
      <c r="O36" s="220"/>
      <c r="P36" s="225"/>
      <c r="Q36" s="220"/>
      <c r="R36" s="220"/>
      <c r="S36" s="293"/>
      <c r="T36" s="223">
        <f t="shared" si="10"/>
        <v>1.1025</v>
      </c>
      <c r="U36" s="223">
        <f t="shared" si="11"/>
        <v>4.9000000000000002E-2</v>
      </c>
      <c r="V36" s="223">
        <f t="shared" si="12"/>
        <v>13.4163</v>
      </c>
      <c r="W36" s="232"/>
      <c r="X36" s="277"/>
      <c r="Y36" s="278"/>
      <c r="Z36" s="191">
        <v>4</v>
      </c>
      <c r="AA36" s="279">
        <f t="shared" si="13"/>
        <v>-0.33999999999999986</v>
      </c>
      <c r="AB36" s="280"/>
      <c r="AC36" s="281"/>
      <c r="AD36" s="181">
        <v>0.17</v>
      </c>
      <c r="AE36" s="282"/>
      <c r="AF36" s="282"/>
    </row>
    <row r="37" spans="1:32" s="24" customFormat="1" ht="19.149999999999999" customHeight="1" x14ac:dyDescent="0.25">
      <c r="A37" s="234">
        <v>28</v>
      </c>
      <c r="B37" s="219" t="s">
        <v>246</v>
      </c>
      <c r="C37" s="220"/>
      <c r="D37" s="220"/>
      <c r="E37" s="221">
        <f t="shared" si="7"/>
        <v>7.2809999999999997</v>
      </c>
      <c r="F37" s="222">
        <v>4</v>
      </c>
      <c r="G37" s="223">
        <f t="shared" si="8"/>
        <v>2.1999999999999997</v>
      </c>
      <c r="H37" s="224"/>
      <c r="I37" s="220"/>
      <c r="J37" s="225">
        <v>0.6</v>
      </c>
      <c r="K37" s="220"/>
      <c r="L37" s="226"/>
      <c r="M37" s="224">
        <v>0.1</v>
      </c>
      <c r="N37" s="227">
        <f t="shared" si="9"/>
        <v>1.2</v>
      </c>
      <c r="O37" s="146"/>
      <c r="P37" s="227"/>
      <c r="Q37" s="146"/>
      <c r="R37" s="146"/>
      <c r="S37" s="228">
        <v>0.3</v>
      </c>
      <c r="T37" s="229">
        <f t="shared" si="10"/>
        <v>1.0349999999999999</v>
      </c>
      <c r="U37" s="229">
        <f t="shared" si="11"/>
        <v>4.5999999999999999E-2</v>
      </c>
      <c r="V37" s="229">
        <f t="shared" si="12"/>
        <v>13.1058</v>
      </c>
      <c r="W37" s="230"/>
      <c r="X37" s="195"/>
      <c r="Y37" s="196"/>
      <c r="Z37" s="191">
        <v>4.68</v>
      </c>
      <c r="AA37" s="76">
        <f t="shared" si="13"/>
        <v>0.67999999999999972</v>
      </c>
      <c r="AB37" s="35"/>
      <c r="AC37" s="36"/>
      <c r="AD37" s="181">
        <v>0.23</v>
      </c>
      <c r="AE37" s="97"/>
      <c r="AF37" s="97"/>
    </row>
    <row r="38" spans="1:32" s="24" customFormat="1" ht="19.149999999999999" customHeight="1" x14ac:dyDescent="0.25">
      <c r="A38" s="234">
        <v>29</v>
      </c>
      <c r="B38" s="219" t="s">
        <v>247</v>
      </c>
      <c r="C38" s="220"/>
      <c r="D38" s="220"/>
      <c r="E38" s="221">
        <f t="shared" si="7"/>
        <v>7.8765999999999989</v>
      </c>
      <c r="F38" s="231">
        <f>4.34+0.34</f>
        <v>4.68</v>
      </c>
      <c r="G38" s="223">
        <f t="shared" si="8"/>
        <v>1.984</v>
      </c>
      <c r="H38" s="224"/>
      <c r="I38" s="220"/>
      <c r="J38" s="225">
        <v>0.48</v>
      </c>
      <c r="K38" s="220"/>
      <c r="L38" s="226"/>
      <c r="M38" s="224">
        <v>0.1</v>
      </c>
      <c r="N38" s="227">
        <f t="shared" si="9"/>
        <v>1.4039999999999999</v>
      </c>
      <c r="O38" s="146"/>
      <c r="P38" s="227"/>
      <c r="Q38" s="146"/>
      <c r="R38" s="146"/>
      <c r="S38" s="228"/>
      <c r="T38" s="229">
        <f t="shared" si="10"/>
        <v>1.161</v>
      </c>
      <c r="U38" s="229">
        <f t="shared" si="11"/>
        <v>5.16E-2</v>
      </c>
      <c r="V38" s="229">
        <f t="shared" si="12"/>
        <v>14.177879999999998</v>
      </c>
      <c r="W38" s="230"/>
      <c r="X38" s="195"/>
      <c r="Y38" s="196"/>
      <c r="Z38" s="191">
        <v>4</v>
      </c>
      <c r="AA38" s="76">
        <f t="shared" si="13"/>
        <v>-0.67999999999999972</v>
      </c>
      <c r="AB38" s="35"/>
      <c r="AC38" s="36"/>
      <c r="AD38" s="181">
        <v>0.14000000000000001</v>
      </c>
      <c r="AE38" s="97"/>
      <c r="AF38" s="97"/>
    </row>
    <row r="39" spans="1:32" s="24" customFormat="1" ht="19.149999999999999" customHeight="1" x14ac:dyDescent="0.25">
      <c r="A39" s="234">
        <v>30</v>
      </c>
      <c r="B39" s="219" t="s">
        <v>248</v>
      </c>
      <c r="C39" s="220"/>
      <c r="D39" s="220"/>
      <c r="E39" s="221">
        <f t="shared" si="7"/>
        <v>8.1761499999999998</v>
      </c>
      <c r="F39" s="231">
        <v>4.32</v>
      </c>
      <c r="G39" s="223">
        <f t="shared" si="8"/>
        <v>2.5659999999999998</v>
      </c>
      <c r="H39" s="224"/>
      <c r="I39" s="220"/>
      <c r="J39" s="225">
        <v>1.17</v>
      </c>
      <c r="K39" s="220"/>
      <c r="L39" s="226"/>
      <c r="M39" s="224">
        <v>0.1</v>
      </c>
      <c r="N39" s="227">
        <f t="shared" si="9"/>
        <v>1.296</v>
      </c>
      <c r="O39" s="146"/>
      <c r="P39" s="227"/>
      <c r="Q39" s="146"/>
      <c r="R39" s="146"/>
      <c r="S39" s="228"/>
      <c r="T39" s="229">
        <f t="shared" si="10"/>
        <v>1.2352500000000002</v>
      </c>
      <c r="U39" s="229">
        <f t="shared" si="11"/>
        <v>5.4900000000000004E-2</v>
      </c>
      <c r="V39" s="229">
        <f t="shared" si="12"/>
        <v>14.71707</v>
      </c>
      <c r="W39" s="230"/>
      <c r="X39" s="195"/>
      <c r="Y39" s="196"/>
      <c r="Z39" s="191">
        <v>5.0199999999999996</v>
      </c>
      <c r="AA39" s="76">
        <f t="shared" si="13"/>
        <v>0.69999999999999929</v>
      </c>
      <c r="AB39" s="35"/>
      <c r="AC39" s="36"/>
      <c r="AD39" s="181">
        <v>0.23</v>
      </c>
      <c r="AE39" s="97"/>
      <c r="AF39" s="97"/>
    </row>
    <row r="40" spans="1:32" s="24" customFormat="1" ht="19.149999999999999" customHeight="1" x14ac:dyDescent="0.25">
      <c r="A40" s="234">
        <v>31</v>
      </c>
      <c r="B40" s="219" t="s">
        <v>249</v>
      </c>
      <c r="C40" s="220"/>
      <c r="D40" s="220"/>
      <c r="E40" s="221">
        <f t="shared" si="7"/>
        <v>8.0802624999999981</v>
      </c>
      <c r="F40" s="222">
        <f>4+0.34</f>
        <v>4.34</v>
      </c>
      <c r="G40" s="223">
        <f t="shared" si="8"/>
        <v>2.4695</v>
      </c>
      <c r="H40" s="224"/>
      <c r="I40" s="220"/>
      <c r="J40" s="225">
        <v>1.0674999999999999</v>
      </c>
      <c r="K40" s="220"/>
      <c r="L40" s="226"/>
      <c r="M40" s="224">
        <v>0.1</v>
      </c>
      <c r="N40" s="227">
        <f t="shared" si="9"/>
        <v>1.3019999999999998</v>
      </c>
      <c r="O40" s="146"/>
      <c r="P40" s="227"/>
      <c r="Q40" s="146"/>
      <c r="R40" s="146"/>
      <c r="S40" s="228"/>
      <c r="T40" s="229">
        <f t="shared" si="10"/>
        <v>1.2166874999999999</v>
      </c>
      <c r="U40" s="229">
        <f t="shared" si="11"/>
        <v>5.4074999999999998E-2</v>
      </c>
      <c r="V40" s="229">
        <f t="shared" si="12"/>
        <v>14.544472499999998</v>
      </c>
      <c r="W40" s="230"/>
      <c r="X40" s="195"/>
      <c r="Y40" s="196"/>
      <c r="Z40" s="190">
        <v>4</v>
      </c>
      <c r="AA40" s="76">
        <f t="shared" si="13"/>
        <v>-0.33999999999999986</v>
      </c>
      <c r="AB40" s="35"/>
      <c r="AC40" s="36"/>
      <c r="AD40" s="181">
        <v>0.11</v>
      </c>
      <c r="AE40" s="97"/>
      <c r="AF40" s="97"/>
    </row>
    <row r="41" spans="1:32" s="24" customFormat="1" ht="19.149999999999999" customHeight="1" x14ac:dyDescent="0.25">
      <c r="A41" s="234">
        <v>32</v>
      </c>
      <c r="B41" s="219" t="s">
        <v>250</v>
      </c>
      <c r="C41" s="220"/>
      <c r="D41" s="220"/>
      <c r="E41" s="221">
        <f t="shared" si="7"/>
        <v>5.8305790000000002</v>
      </c>
      <c r="F41" s="222">
        <v>3</v>
      </c>
      <c r="G41" s="223">
        <f t="shared" si="8"/>
        <v>1.9114</v>
      </c>
      <c r="H41" s="224"/>
      <c r="I41" s="220"/>
      <c r="J41" s="225">
        <v>0.91139999999999999</v>
      </c>
      <c r="K41" s="220"/>
      <c r="L41" s="226"/>
      <c r="M41" s="224">
        <v>0.1</v>
      </c>
      <c r="N41" s="227">
        <f t="shared" si="9"/>
        <v>0.89999999999999991</v>
      </c>
      <c r="O41" s="146"/>
      <c r="P41" s="227"/>
      <c r="Q41" s="146"/>
      <c r="R41" s="146"/>
      <c r="S41" s="228"/>
      <c r="T41" s="229">
        <f t="shared" si="10"/>
        <v>0.88006499999999999</v>
      </c>
      <c r="U41" s="229">
        <f t="shared" si="11"/>
        <v>3.9114000000000003E-2</v>
      </c>
      <c r="V41" s="229">
        <f t="shared" si="12"/>
        <v>10.4950422</v>
      </c>
      <c r="W41" s="230"/>
      <c r="X41" s="195"/>
      <c r="Y41" s="196"/>
      <c r="Z41" s="191">
        <v>3.33</v>
      </c>
      <c r="AA41" s="76">
        <f t="shared" si="13"/>
        <v>0.33000000000000007</v>
      </c>
      <c r="AB41" s="35"/>
      <c r="AC41" s="36"/>
      <c r="AD41" s="181">
        <v>0.11</v>
      </c>
      <c r="AE41" s="97"/>
      <c r="AF41" s="97"/>
    </row>
    <row r="42" spans="1:32" s="24" customFormat="1" ht="19.149999999999999" customHeight="1" x14ac:dyDescent="0.25">
      <c r="A42" s="234">
        <v>33</v>
      </c>
      <c r="B42" s="219" t="s">
        <v>251</v>
      </c>
      <c r="C42" s="220"/>
      <c r="D42" s="220"/>
      <c r="E42" s="221">
        <f t="shared" si="7"/>
        <v>5.5449999999999999</v>
      </c>
      <c r="F42" s="222">
        <v>3.33</v>
      </c>
      <c r="G42" s="223">
        <f t="shared" si="8"/>
        <v>1.369</v>
      </c>
      <c r="H42" s="224"/>
      <c r="I42" s="220"/>
      <c r="J42" s="225">
        <v>0.27</v>
      </c>
      <c r="K42" s="220"/>
      <c r="L42" s="226"/>
      <c r="M42" s="224">
        <v>0.1</v>
      </c>
      <c r="N42" s="227">
        <f t="shared" si="9"/>
        <v>0.999</v>
      </c>
      <c r="O42" s="146"/>
      <c r="P42" s="227"/>
      <c r="Q42" s="146"/>
      <c r="R42" s="146"/>
      <c r="S42" s="228"/>
      <c r="T42" s="229">
        <f t="shared" si="10"/>
        <v>0.81</v>
      </c>
      <c r="U42" s="229">
        <f t="shared" si="11"/>
        <v>3.6000000000000004E-2</v>
      </c>
      <c r="V42" s="229">
        <f t="shared" si="12"/>
        <v>9.9809999999999999</v>
      </c>
      <c r="W42" s="230"/>
      <c r="X42" s="195"/>
      <c r="Y42" s="196"/>
      <c r="Z42" s="191">
        <v>3.66</v>
      </c>
      <c r="AA42" s="76">
        <f t="shared" si="13"/>
        <v>0.33000000000000007</v>
      </c>
      <c r="AB42" s="35"/>
      <c r="AC42" s="36"/>
      <c r="AD42" s="181">
        <v>0.11</v>
      </c>
      <c r="AE42" s="97"/>
      <c r="AF42" s="97"/>
    </row>
    <row r="43" spans="1:32" s="24" customFormat="1" ht="19.149999999999999" customHeight="1" x14ac:dyDescent="0.25">
      <c r="A43" s="234">
        <v>34</v>
      </c>
      <c r="B43" s="219" t="s">
        <v>252</v>
      </c>
      <c r="C43" s="220"/>
      <c r="D43" s="220"/>
      <c r="E43" s="221">
        <f t="shared" si="7"/>
        <v>5.1989999999999998</v>
      </c>
      <c r="F43" s="222">
        <f>2.67+0.33</f>
        <v>3</v>
      </c>
      <c r="G43" s="223">
        <f t="shared" si="8"/>
        <v>1.4</v>
      </c>
      <c r="H43" s="224"/>
      <c r="I43" s="220"/>
      <c r="J43" s="225">
        <v>0.4</v>
      </c>
      <c r="K43" s="220"/>
      <c r="L43" s="226"/>
      <c r="M43" s="224">
        <v>0.1</v>
      </c>
      <c r="N43" s="227">
        <f t="shared" si="9"/>
        <v>0.89999999999999991</v>
      </c>
      <c r="O43" s="146"/>
      <c r="P43" s="227"/>
      <c r="Q43" s="146"/>
      <c r="R43" s="146"/>
      <c r="S43" s="228"/>
      <c r="T43" s="229">
        <f t="shared" si="10"/>
        <v>0.76500000000000001</v>
      </c>
      <c r="U43" s="229">
        <f t="shared" si="11"/>
        <v>3.4000000000000002E-2</v>
      </c>
      <c r="V43" s="229">
        <f t="shared" si="12"/>
        <v>9.3582000000000001</v>
      </c>
      <c r="W43" s="230"/>
      <c r="X43" s="195"/>
      <c r="Y43" s="196"/>
      <c r="Z43" s="190">
        <v>4.34</v>
      </c>
      <c r="AA43" s="76">
        <f t="shared" si="13"/>
        <v>1.3399999999999999</v>
      </c>
      <c r="AB43" s="35"/>
      <c r="AC43" s="36"/>
      <c r="AD43" s="181">
        <v>0.2</v>
      </c>
      <c r="AE43" s="97"/>
      <c r="AF43" s="97"/>
    </row>
    <row r="44" spans="1:32" s="24" customFormat="1" ht="19.149999999999999" customHeight="1" x14ac:dyDescent="0.25">
      <c r="A44" s="218">
        <v>35</v>
      </c>
      <c r="B44" s="219" t="s">
        <v>253</v>
      </c>
      <c r="C44" s="220"/>
      <c r="D44" s="220"/>
      <c r="E44" s="221">
        <f t="shared" si="7"/>
        <v>4.7050000000000001</v>
      </c>
      <c r="F44" s="222">
        <v>3</v>
      </c>
      <c r="G44" s="223">
        <f t="shared" si="8"/>
        <v>0.99999999999999989</v>
      </c>
      <c r="H44" s="224"/>
      <c r="I44" s="220"/>
      <c r="J44" s="225"/>
      <c r="K44" s="220"/>
      <c r="L44" s="226"/>
      <c r="M44" s="224">
        <v>0.1</v>
      </c>
      <c r="N44" s="227">
        <f t="shared" si="9"/>
        <v>0.89999999999999991</v>
      </c>
      <c r="O44" s="146"/>
      <c r="P44" s="227"/>
      <c r="Q44" s="146"/>
      <c r="R44" s="146"/>
      <c r="S44" s="228"/>
      <c r="T44" s="229">
        <f t="shared" si="10"/>
        <v>0.67500000000000004</v>
      </c>
      <c r="U44" s="229">
        <f t="shared" si="11"/>
        <v>0.03</v>
      </c>
      <c r="V44" s="229">
        <f t="shared" si="12"/>
        <v>8.4690000000000012</v>
      </c>
      <c r="W44" s="230"/>
      <c r="X44" s="195"/>
      <c r="Y44" s="196"/>
      <c r="Z44" s="191">
        <v>4</v>
      </c>
      <c r="AA44" s="76">
        <f t="shared" si="13"/>
        <v>1</v>
      </c>
      <c r="AB44" s="35"/>
      <c r="AC44" s="36"/>
      <c r="AD44" s="181">
        <v>0.14000000000000001</v>
      </c>
      <c r="AE44" s="97"/>
      <c r="AF44" s="97"/>
    </row>
    <row r="45" spans="1:32" s="24" customFormat="1" ht="19.149999999999999" customHeight="1" x14ac:dyDescent="0.25">
      <c r="A45" s="218">
        <v>36</v>
      </c>
      <c r="B45" s="236" t="s">
        <v>254</v>
      </c>
      <c r="C45" s="220"/>
      <c r="D45" s="220"/>
      <c r="E45" s="221">
        <f t="shared" si="7"/>
        <v>4.1984499999999993</v>
      </c>
      <c r="F45" s="231">
        <f>2.34+0.33</f>
        <v>2.67</v>
      </c>
      <c r="G45" s="223">
        <f t="shared" si="8"/>
        <v>0.90099999999999991</v>
      </c>
      <c r="H45" s="224"/>
      <c r="I45" s="220"/>
      <c r="J45" s="225"/>
      <c r="K45" s="220"/>
      <c r="L45" s="226"/>
      <c r="M45" s="224">
        <v>0.1</v>
      </c>
      <c r="N45" s="227">
        <f t="shared" si="9"/>
        <v>0.80099999999999993</v>
      </c>
      <c r="O45" s="146"/>
      <c r="P45" s="227"/>
      <c r="Q45" s="146"/>
      <c r="R45" s="146"/>
      <c r="S45" s="228"/>
      <c r="T45" s="229">
        <f t="shared" si="10"/>
        <v>0.60075000000000001</v>
      </c>
      <c r="U45" s="229">
        <f t="shared" si="11"/>
        <v>2.6700000000000002E-2</v>
      </c>
      <c r="V45" s="229">
        <f t="shared" si="12"/>
        <v>7.5572099999999987</v>
      </c>
      <c r="W45" s="230"/>
      <c r="X45" s="195"/>
      <c r="Y45" s="196"/>
      <c r="Z45" s="191">
        <v>4</v>
      </c>
      <c r="AA45" s="76">
        <f t="shared" si="13"/>
        <v>1.33</v>
      </c>
      <c r="AB45" s="35"/>
      <c r="AC45" s="36"/>
      <c r="AD45" s="181">
        <v>0.14000000000000001</v>
      </c>
      <c r="AE45" s="97"/>
      <c r="AF45" s="97"/>
    </row>
    <row r="46" spans="1:32" s="24" customFormat="1" ht="19.149999999999999" customHeight="1" x14ac:dyDescent="0.25">
      <c r="A46" s="218">
        <v>37</v>
      </c>
      <c r="B46" s="219" t="s">
        <v>255</v>
      </c>
      <c r="C46" s="220"/>
      <c r="D46" s="220"/>
      <c r="E46" s="221">
        <f t="shared" si="7"/>
        <v>3.6919</v>
      </c>
      <c r="F46" s="231">
        <v>2.34</v>
      </c>
      <c r="G46" s="223">
        <f t="shared" si="8"/>
        <v>0.80199999999999994</v>
      </c>
      <c r="H46" s="224"/>
      <c r="I46" s="220"/>
      <c r="J46" s="225"/>
      <c r="K46" s="220"/>
      <c r="L46" s="226"/>
      <c r="M46" s="224">
        <v>0.1</v>
      </c>
      <c r="N46" s="227">
        <f t="shared" si="9"/>
        <v>0.70199999999999996</v>
      </c>
      <c r="O46" s="146"/>
      <c r="P46" s="227"/>
      <c r="Q46" s="146"/>
      <c r="R46" s="146"/>
      <c r="S46" s="228"/>
      <c r="T46" s="229">
        <f t="shared" si="10"/>
        <v>0.52649999999999997</v>
      </c>
      <c r="U46" s="229">
        <f t="shared" si="11"/>
        <v>2.3400000000000001E-2</v>
      </c>
      <c r="V46" s="229">
        <f t="shared" si="12"/>
        <v>6.6454199999999997</v>
      </c>
      <c r="W46" s="230"/>
      <c r="X46" s="195"/>
      <c r="Y46" s="196"/>
      <c r="Z46" s="191">
        <v>5.0199999999999996</v>
      </c>
      <c r="AA46" s="76">
        <f t="shared" si="13"/>
        <v>2.6799999999999997</v>
      </c>
      <c r="AB46" s="35"/>
      <c r="AC46" s="36"/>
      <c r="AD46" s="181">
        <v>0.26</v>
      </c>
      <c r="AE46" s="97"/>
      <c r="AF46" s="97"/>
    </row>
    <row r="47" spans="1:32" s="287" customFormat="1" ht="19.149999999999999" customHeight="1" x14ac:dyDescent="0.25">
      <c r="A47" s="234">
        <v>38</v>
      </c>
      <c r="B47" s="219" t="s">
        <v>256</v>
      </c>
      <c r="C47" s="220"/>
      <c r="D47" s="220"/>
      <c r="E47" s="221">
        <f t="shared" si="7"/>
        <v>4.7050000000000001</v>
      </c>
      <c r="F47" s="255">
        <f>2.67+0.33</f>
        <v>3</v>
      </c>
      <c r="G47" s="223">
        <f t="shared" si="8"/>
        <v>0.99999999999999989</v>
      </c>
      <c r="H47" s="224"/>
      <c r="I47" s="220"/>
      <c r="J47" s="225"/>
      <c r="K47" s="220"/>
      <c r="L47" s="226"/>
      <c r="M47" s="224">
        <v>0.1</v>
      </c>
      <c r="N47" s="227">
        <f t="shared" si="9"/>
        <v>0.89999999999999991</v>
      </c>
      <c r="O47" s="220"/>
      <c r="P47" s="225"/>
      <c r="Q47" s="220"/>
      <c r="R47" s="220"/>
      <c r="S47" s="228"/>
      <c r="T47" s="223">
        <f t="shared" si="10"/>
        <v>0.67500000000000004</v>
      </c>
      <c r="U47" s="223">
        <f t="shared" si="11"/>
        <v>0.03</v>
      </c>
      <c r="V47" s="223">
        <f t="shared" si="12"/>
        <v>8.4690000000000012</v>
      </c>
      <c r="W47" s="232"/>
      <c r="X47" s="277"/>
      <c r="Y47" s="278"/>
      <c r="Z47" s="190">
        <v>4</v>
      </c>
      <c r="AA47" s="279">
        <f t="shared" si="13"/>
        <v>1</v>
      </c>
      <c r="AB47" s="280"/>
      <c r="AC47" s="281"/>
      <c r="AD47" s="181">
        <v>0.13</v>
      </c>
      <c r="AE47" s="282"/>
      <c r="AF47" s="282"/>
    </row>
    <row r="48" spans="1:32" s="24" customFormat="1" ht="19.149999999999999" customHeight="1" x14ac:dyDescent="0.25">
      <c r="A48" s="218">
        <v>39</v>
      </c>
      <c r="B48" s="219" t="s">
        <v>257</v>
      </c>
      <c r="C48" s="220"/>
      <c r="D48" s="220"/>
      <c r="E48" s="221">
        <f t="shared" si="7"/>
        <v>6.24</v>
      </c>
      <c r="F48" s="222">
        <v>4</v>
      </c>
      <c r="G48" s="223">
        <f t="shared" si="8"/>
        <v>1.3</v>
      </c>
      <c r="H48" s="224"/>
      <c r="I48" s="220"/>
      <c r="J48" s="225"/>
      <c r="K48" s="220"/>
      <c r="L48" s="226"/>
      <c r="M48" s="224">
        <v>0.1</v>
      </c>
      <c r="N48" s="227">
        <f t="shared" si="9"/>
        <v>1.2</v>
      </c>
      <c r="O48" s="146"/>
      <c r="P48" s="227"/>
      <c r="Q48" s="146"/>
      <c r="R48" s="146"/>
      <c r="S48" s="228"/>
      <c r="T48" s="229">
        <f t="shared" si="10"/>
        <v>0.9</v>
      </c>
      <c r="U48" s="229">
        <f t="shared" si="11"/>
        <v>0.04</v>
      </c>
      <c r="V48" s="229">
        <f t="shared" si="12"/>
        <v>11.232000000000001</v>
      </c>
      <c r="W48" s="230"/>
      <c r="X48" s="195"/>
      <c r="Y48" s="196"/>
      <c r="Z48" s="191">
        <v>5.0199999999999996</v>
      </c>
      <c r="AA48" s="76">
        <f t="shared" si="13"/>
        <v>1.0199999999999996</v>
      </c>
      <c r="AB48" s="35"/>
      <c r="AC48" s="36"/>
      <c r="AD48" s="181">
        <v>0.24</v>
      </c>
      <c r="AE48" s="97"/>
      <c r="AF48" s="97"/>
    </row>
    <row r="49" spans="1:32" s="24" customFormat="1" ht="19.149999999999999" customHeight="1" x14ac:dyDescent="0.25">
      <c r="A49" s="218">
        <v>40</v>
      </c>
      <c r="B49" s="219" t="s">
        <v>258</v>
      </c>
      <c r="C49" s="220"/>
      <c r="D49" s="220"/>
      <c r="E49" s="221">
        <f t="shared" si="7"/>
        <v>4.4249000000000001</v>
      </c>
      <c r="F49" s="231">
        <f>3.03+0.31</f>
        <v>3.34</v>
      </c>
      <c r="G49" s="223">
        <f t="shared" si="8"/>
        <v>0.30000000000000004</v>
      </c>
      <c r="H49" s="224"/>
      <c r="I49" s="220"/>
      <c r="J49" s="225"/>
      <c r="K49" s="220"/>
      <c r="L49" s="226"/>
      <c r="M49" s="224">
        <v>0.1</v>
      </c>
      <c r="N49" s="227"/>
      <c r="O49" s="146"/>
      <c r="P49" s="227"/>
      <c r="Q49" s="146"/>
      <c r="R49" s="146"/>
      <c r="S49" s="228">
        <v>0.2</v>
      </c>
      <c r="T49" s="229">
        <f t="shared" si="10"/>
        <v>0.75149999999999995</v>
      </c>
      <c r="U49" s="229">
        <f t="shared" si="11"/>
        <v>3.3399999999999999E-2</v>
      </c>
      <c r="V49" s="229">
        <f t="shared" si="12"/>
        <v>7.9648200000000005</v>
      </c>
      <c r="W49" s="230"/>
      <c r="X49" s="195"/>
      <c r="Y49" s="196"/>
      <c r="Z49" s="191">
        <v>5.36</v>
      </c>
      <c r="AA49" s="76">
        <f t="shared" si="13"/>
        <v>2.0200000000000005</v>
      </c>
      <c r="AB49" s="35"/>
      <c r="AC49" s="36"/>
      <c r="AD49" s="181">
        <v>0.31</v>
      </c>
      <c r="AE49" s="97"/>
      <c r="AF49" s="97"/>
    </row>
    <row r="50" spans="1:32" s="24" customFormat="1" ht="19.149999999999999" customHeight="1" x14ac:dyDescent="0.25">
      <c r="A50" s="218">
        <v>41</v>
      </c>
      <c r="B50" s="219" t="s">
        <v>259</v>
      </c>
      <c r="C50" s="220"/>
      <c r="D50" s="220"/>
      <c r="E50" s="221">
        <f t="shared" si="7"/>
        <v>4.0791000000000004</v>
      </c>
      <c r="F50" s="237">
        <f>2.86+0.2</f>
        <v>3.06</v>
      </c>
      <c r="G50" s="223">
        <f t="shared" si="8"/>
        <v>0.30000000000000004</v>
      </c>
      <c r="H50" s="224"/>
      <c r="I50" s="220"/>
      <c r="J50" s="225"/>
      <c r="K50" s="220"/>
      <c r="L50" s="226"/>
      <c r="M50" s="224">
        <v>0.1</v>
      </c>
      <c r="N50" s="227"/>
      <c r="O50" s="146"/>
      <c r="P50" s="227"/>
      <c r="Q50" s="146"/>
      <c r="R50" s="146"/>
      <c r="S50" s="228">
        <v>0.2</v>
      </c>
      <c r="T50" s="229">
        <f t="shared" si="10"/>
        <v>0.6885</v>
      </c>
      <c r="U50" s="229">
        <f t="shared" si="11"/>
        <v>3.0600000000000002E-2</v>
      </c>
      <c r="V50" s="229">
        <f t="shared" si="12"/>
        <v>7.3423800000000012</v>
      </c>
      <c r="W50" s="230"/>
      <c r="X50" s="195"/>
      <c r="Y50" s="196"/>
      <c r="Z50" s="191">
        <v>5.0199999999999996</v>
      </c>
      <c r="AA50" s="76">
        <f t="shared" si="13"/>
        <v>1.9599999999999995</v>
      </c>
      <c r="AB50" s="35"/>
      <c r="AC50" s="36"/>
      <c r="AD50" s="181">
        <v>0.24</v>
      </c>
      <c r="AE50" s="97"/>
      <c r="AF50" s="97"/>
    </row>
    <row r="51" spans="1:32" s="24" customFormat="1" ht="19.149999999999999" customHeight="1" x14ac:dyDescent="0.25">
      <c r="A51" s="218">
        <v>42</v>
      </c>
      <c r="B51" s="219" t="s">
        <v>260</v>
      </c>
      <c r="C51" s="220"/>
      <c r="D51" s="220"/>
      <c r="E51" s="221">
        <f t="shared" ref="E51:E56" si="14">F51+G51+T51+U51</f>
        <v>3.6320999999999999</v>
      </c>
      <c r="F51" s="231">
        <f>2.46+0.2</f>
        <v>2.66</v>
      </c>
      <c r="G51" s="223">
        <f t="shared" ref="G51:G56" si="15">SUM(H51:S51)</f>
        <v>0.30000000000000004</v>
      </c>
      <c r="H51" s="224">
        <v>0.2</v>
      </c>
      <c r="I51" s="220"/>
      <c r="J51" s="225"/>
      <c r="K51" s="220"/>
      <c r="L51" s="226"/>
      <c r="M51" s="224">
        <v>0.1</v>
      </c>
      <c r="N51" s="227"/>
      <c r="O51" s="146"/>
      <c r="P51" s="227"/>
      <c r="Q51" s="146"/>
      <c r="R51" s="146"/>
      <c r="S51" s="228"/>
      <c r="T51" s="229">
        <f t="shared" ref="T51" si="16">(F51+H51+J51)*22.5%</f>
        <v>0.64350000000000007</v>
      </c>
      <c r="U51" s="229">
        <f t="shared" ref="U51" si="17">(F51+H51+J51)*1%</f>
        <v>2.8600000000000004E-2</v>
      </c>
      <c r="V51" s="229">
        <f t="shared" ref="V51" si="18">E51*1.8</f>
        <v>6.5377799999999997</v>
      </c>
      <c r="W51" s="230"/>
      <c r="X51" s="195"/>
      <c r="Y51" s="196"/>
      <c r="Z51" s="191"/>
      <c r="AA51" s="76"/>
      <c r="AB51" s="35"/>
      <c r="AC51" s="36"/>
      <c r="AD51" s="181"/>
      <c r="AE51" s="97"/>
      <c r="AF51" s="97"/>
    </row>
    <row r="52" spans="1:32" s="24" customFormat="1" ht="19.149999999999999" customHeight="1" x14ac:dyDescent="0.25">
      <c r="A52" s="218">
        <v>43</v>
      </c>
      <c r="B52" s="219" t="s">
        <v>287</v>
      </c>
      <c r="C52" s="220"/>
      <c r="D52" s="220"/>
      <c r="E52" s="221">
        <f t="shared" si="14"/>
        <v>3.6919</v>
      </c>
      <c r="F52" s="231">
        <v>2.34</v>
      </c>
      <c r="G52" s="223">
        <f t="shared" si="15"/>
        <v>0.80199999999999994</v>
      </c>
      <c r="H52" s="224"/>
      <c r="I52" s="220"/>
      <c r="J52" s="225"/>
      <c r="K52" s="220"/>
      <c r="L52" s="226"/>
      <c r="M52" s="224">
        <v>0.1</v>
      </c>
      <c r="N52" s="227">
        <f t="shared" si="9"/>
        <v>0.70199999999999996</v>
      </c>
      <c r="O52" s="146"/>
      <c r="P52" s="227"/>
      <c r="Q52" s="146"/>
      <c r="R52" s="146"/>
      <c r="S52" s="228"/>
      <c r="T52" s="229">
        <f t="shared" ref="T52:T56" si="19">(F52+H52+J52)*22.5%</f>
        <v>0.52649999999999997</v>
      </c>
      <c r="U52" s="229">
        <f t="shared" ref="U52:U56" si="20">(F52+H52+J52)*1%</f>
        <v>2.3400000000000001E-2</v>
      </c>
      <c r="V52" s="229">
        <f t="shared" ref="V52:V56" si="21">E52*1.8</f>
        <v>6.6454199999999997</v>
      </c>
      <c r="W52" s="230"/>
      <c r="X52" s="195"/>
      <c r="Y52" s="196"/>
      <c r="Z52" s="191"/>
      <c r="AA52" s="76"/>
      <c r="AB52" s="35"/>
      <c r="AC52" s="36"/>
      <c r="AD52" s="181"/>
      <c r="AE52" s="97"/>
      <c r="AF52" s="97"/>
    </row>
    <row r="53" spans="1:32" s="24" customFormat="1" ht="19.149999999999999" customHeight="1" x14ac:dyDescent="0.25">
      <c r="A53" s="218">
        <v>44</v>
      </c>
      <c r="B53" s="219" t="s">
        <v>287</v>
      </c>
      <c r="C53" s="220"/>
      <c r="D53" s="220"/>
      <c r="E53" s="221">
        <f t="shared" si="14"/>
        <v>3.6919</v>
      </c>
      <c r="F53" s="231">
        <v>2.34</v>
      </c>
      <c r="G53" s="223">
        <f t="shared" si="15"/>
        <v>0.80199999999999994</v>
      </c>
      <c r="H53" s="224"/>
      <c r="I53" s="220"/>
      <c r="J53" s="225"/>
      <c r="K53" s="220"/>
      <c r="L53" s="226"/>
      <c r="M53" s="224">
        <v>0.1</v>
      </c>
      <c r="N53" s="227">
        <f t="shared" si="9"/>
        <v>0.70199999999999996</v>
      </c>
      <c r="O53" s="146"/>
      <c r="P53" s="227"/>
      <c r="Q53" s="146"/>
      <c r="R53" s="146"/>
      <c r="S53" s="228"/>
      <c r="T53" s="229">
        <f t="shared" si="19"/>
        <v>0.52649999999999997</v>
      </c>
      <c r="U53" s="229">
        <f t="shared" si="20"/>
        <v>2.3400000000000001E-2</v>
      </c>
      <c r="V53" s="229">
        <f t="shared" si="21"/>
        <v>6.6454199999999997</v>
      </c>
      <c r="W53" s="230"/>
      <c r="X53" s="195"/>
      <c r="Y53" s="196"/>
      <c r="Z53" s="191"/>
      <c r="AA53" s="76"/>
      <c r="AB53" s="35"/>
      <c r="AC53" s="36"/>
      <c r="AD53" s="181"/>
      <c r="AE53" s="97"/>
      <c r="AF53" s="97"/>
    </row>
    <row r="54" spans="1:32" s="24" customFormat="1" ht="19.149999999999999" customHeight="1" x14ac:dyDescent="0.25">
      <c r="A54" s="218">
        <v>45</v>
      </c>
      <c r="B54" s="219" t="s">
        <v>287</v>
      </c>
      <c r="C54" s="220"/>
      <c r="D54" s="220"/>
      <c r="E54" s="221">
        <f t="shared" si="14"/>
        <v>3.6919</v>
      </c>
      <c r="F54" s="231">
        <v>2.34</v>
      </c>
      <c r="G54" s="223">
        <f t="shared" si="15"/>
        <v>0.80199999999999994</v>
      </c>
      <c r="H54" s="224"/>
      <c r="I54" s="220"/>
      <c r="J54" s="225"/>
      <c r="K54" s="220"/>
      <c r="L54" s="226"/>
      <c r="M54" s="224">
        <v>0.1</v>
      </c>
      <c r="N54" s="227">
        <f t="shared" si="9"/>
        <v>0.70199999999999996</v>
      </c>
      <c r="O54" s="146"/>
      <c r="P54" s="227"/>
      <c r="Q54" s="146"/>
      <c r="R54" s="146"/>
      <c r="S54" s="228"/>
      <c r="T54" s="229">
        <f t="shared" si="19"/>
        <v>0.52649999999999997</v>
      </c>
      <c r="U54" s="229">
        <f t="shared" si="20"/>
        <v>2.3400000000000001E-2</v>
      </c>
      <c r="V54" s="229">
        <f t="shared" si="21"/>
        <v>6.6454199999999997</v>
      </c>
      <c r="W54" s="230"/>
      <c r="X54" s="195"/>
      <c r="Y54" s="196"/>
      <c r="Z54" s="191"/>
      <c r="AA54" s="76"/>
      <c r="AB54" s="35"/>
      <c r="AC54" s="36"/>
      <c r="AD54" s="181"/>
      <c r="AE54" s="97"/>
      <c r="AF54" s="97"/>
    </row>
    <row r="55" spans="1:32" s="24" customFormat="1" ht="19.149999999999999" customHeight="1" x14ac:dyDescent="0.25">
      <c r="A55" s="218">
        <v>46</v>
      </c>
      <c r="B55" s="219" t="s">
        <v>287</v>
      </c>
      <c r="C55" s="220"/>
      <c r="D55" s="220"/>
      <c r="E55" s="221">
        <f t="shared" si="14"/>
        <v>3.6919</v>
      </c>
      <c r="F55" s="231">
        <v>2.34</v>
      </c>
      <c r="G55" s="223">
        <f t="shared" si="15"/>
        <v>0.80199999999999994</v>
      </c>
      <c r="H55" s="224"/>
      <c r="I55" s="220"/>
      <c r="J55" s="225"/>
      <c r="K55" s="220"/>
      <c r="L55" s="226"/>
      <c r="M55" s="224">
        <v>0.1</v>
      </c>
      <c r="N55" s="227">
        <f t="shared" si="9"/>
        <v>0.70199999999999996</v>
      </c>
      <c r="O55" s="146"/>
      <c r="P55" s="227"/>
      <c r="Q55" s="146"/>
      <c r="R55" s="146"/>
      <c r="S55" s="228"/>
      <c r="T55" s="229">
        <f t="shared" si="19"/>
        <v>0.52649999999999997</v>
      </c>
      <c r="U55" s="229">
        <f t="shared" si="20"/>
        <v>2.3400000000000001E-2</v>
      </c>
      <c r="V55" s="229">
        <f t="shared" si="21"/>
        <v>6.6454199999999997</v>
      </c>
      <c r="W55" s="230"/>
      <c r="X55" s="195"/>
      <c r="Y55" s="196"/>
      <c r="Z55" s="191"/>
      <c r="AA55" s="76"/>
      <c r="AB55" s="35"/>
      <c r="AC55" s="36"/>
      <c r="AD55" s="181"/>
      <c r="AE55" s="97"/>
      <c r="AF55" s="97"/>
    </row>
    <row r="56" spans="1:32" s="24" customFormat="1" ht="19.149999999999999" customHeight="1" x14ac:dyDescent="0.25">
      <c r="A56" s="218">
        <v>47</v>
      </c>
      <c r="B56" s="219" t="s">
        <v>287</v>
      </c>
      <c r="C56" s="220"/>
      <c r="D56" s="220"/>
      <c r="E56" s="221">
        <f t="shared" si="14"/>
        <v>3.6919</v>
      </c>
      <c r="F56" s="231">
        <v>2.34</v>
      </c>
      <c r="G56" s="223">
        <f t="shared" si="15"/>
        <v>0.80199999999999994</v>
      </c>
      <c r="H56" s="224"/>
      <c r="I56" s="220"/>
      <c r="J56" s="225"/>
      <c r="K56" s="220"/>
      <c r="L56" s="226"/>
      <c r="M56" s="224">
        <v>0.1</v>
      </c>
      <c r="N56" s="227">
        <f t="shared" si="9"/>
        <v>0.70199999999999996</v>
      </c>
      <c r="O56" s="146"/>
      <c r="P56" s="227"/>
      <c r="Q56" s="146"/>
      <c r="R56" s="146"/>
      <c r="S56" s="228"/>
      <c r="T56" s="229">
        <f t="shared" si="19"/>
        <v>0.52649999999999997</v>
      </c>
      <c r="U56" s="229">
        <f t="shared" si="20"/>
        <v>2.3400000000000001E-2</v>
      </c>
      <c r="V56" s="229">
        <f t="shared" si="21"/>
        <v>6.6454199999999997</v>
      </c>
      <c r="W56" s="230"/>
      <c r="X56" s="195"/>
      <c r="Y56" s="196"/>
      <c r="Z56" s="190">
        <v>4</v>
      </c>
      <c r="AA56" s="76">
        <f t="shared" si="13"/>
        <v>1.6600000000000001</v>
      </c>
      <c r="AB56" s="35"/>
      <c r="AC56" s="36"/>
      <c r="AD56" s="181">
        <v>0.15</v>
      </c>
      <c r="AE56" s="97"/>
      <c r="AF56" s="97"/>
    </row>
    <row r="57" spans="1:32" s="24" customFormat="1" ht="21.95" customHeight="1" x14ac:dyDescent="0.3">
      <c r="A57" s="98"/>
      <c r="B57" s="238"/>
      <c r="C57" s="238"/>
      <c r="D57" s="238"/>
      <c r="E57" s="238"/>
      <c r="F57" s="238"/>
      <c r="G57" s="238"/>
      <c r="H57" s="238"/>
      <c r="I57" s="238"/>
      <c r="J57" s="238"/>
      <c r="K57" s="238"/>
      <c r="L57" s="238"/>
      <c r="M57" s="288"/>
      <c r="N57" s="310" t="s">
        <v>261</v>
      </c>
      <c r="O57" s="310"/>
      <c r="P57" s="310"/>
      <c r="Q57" s="310"/>
      <c r="R57" s="310"/>
      <c r="S57" s="310"/>
      <c r="T57" s="310"/>
      <c r="U57" s="310"/>
      <c r="V57" s="310"/>
      <c r="W57" s="310"/>
      <c r="X57" s="25"/>
      <c r="Y57" s="25"/>
      <c r="Z57" s="70"/>
      <c r="AA57" s="70"/>
      <c r="AB57" s="98"/>
      <c r="AC57" s="98"/>
      <c r="AD57" s="98"/>
      <c r="AE57" s="97"/>
      <c r="AF57" s="97"/>
    </row>
    <row r="58" spans="1:32" s="24" customFormat="1" ht="21.95" customHeight="1" x14ac:dyDescent="0.3">
      <c r="A58" s="98"/>
      <c r="B58" s="239" t="s">
        <v>61</v>
      </c>
      <c r="C58" s="238"/>
      <c r="D58" s="238"/>
      <c r="E58" s="238"/>
      <c r="F58" s="238"/>
      <c r="G58" s="238"/>
      <c r="H58" s="238"/>
      <c r="I58" s="238"/>
      <c r="J58" s="238"/>
      <c r="K58" s="238"/>
      <c r="L58" s="238"/>
      <c r="M58" s="240"/>
      <c r="N58" s="309" t="s">
        <v>71</v>
      </c>
      <c r="O58" s="309"/>
      <c r="P58" s="309"/>
      <c r="Q58" s="309"/>
      <c r="R58" s="309"/>
      <c r="S58" s="309"/>
      <c r="T58" s="309"/>
      <c r="U58" s="309"/>
      <c r="V58" s="309"/>
      <c r="W58" s="309"/>
      <c r="X58" s="98"/>
      <c r="Y58" s="98"/>
      <c r="Z58" s="70"/>
      <c r="AA58" s="70"/>
      <c r="AB58" s="98"/>
      <c r="AC58" s="98"/>
      <c r="AD58" s="98"/>
      <c r="AE58" s="97"/>
      <c r="AF58" s="97"/>
    </row>
    <row r="59" spans="1:32" ht="12.75" customHeight="1" x14ac:dyDescent="0.3">
      <c r="B59" s="239"/>
      <c r="C59" s="238"/>
      <c r="D59" s="238"/>
      <c r="E59" s="238"/>
      <c r="F59" s="238"/>
      <c r="G59" s="238"/>
      <c r="H59" s="238"/>
      <c r="I59" s="238"/>
      <c r="J59" s="238"/>
      <c r="K59" s="238"/>
      <c r="L59" s="238"/>
      <c r="M59" s="240"/>
      <c r="N59" s="241"/>
      <c r="O59" s="241"/>
      <c r="P59" s="241"/>
      <c r="Q59" s="241"/>
      <c r="R59" s="241"/>
      <c r="S59" s="241"/>
      <c r="T59" s="241"/>
      <c r="U59" s="238"/>
      <c r="AE59" s="97"/>
      <c r="AF59" s="97"/>
    </row>
    <row r="60" spans="1:32" ht="15" customHeight="1" x14ac:dyDescent="0.3">
      <c r="B60" s="239"/>
      <c r="C60" s="238"/>
      <c r="D60" s="238"/>
      <c r="E60" s="238"/>
      <c r="F60" s="238"/>
      <c r="G60" s="238"/>
      <c r="H60" s="238"/>
      <c r="I60" s="238"/>
      <c r="J60" s="238"/>
      <c r="K60" s="238"/>
      <c r="L60" s="238"/>
      <c r="M60" s="240"/>
      <c r="N60" s="241"/>
      <c r="O60" s="241"/>
      <c r="P60" s="241"/>
      <c r="Q60" s="241"/>
      <c r="R60" s="241"/>
      <c r="S60" s="241"/>
      <c r="T60" s="241"/>
      <c r="U60" s="238"/>
      <c r="AE60" s="97"/>
      <c r="AF60" s="97"/>
    </row>
    <row r="61" spans="1:32" ht="15" customHeight="1" x14ac:dyDescent="0.3">
      <c r="B61" s="239"/>
      <c r="C61" s="238"/>
      <c r="D61" s="238"/>
      <c r="E61" s="238"/>
      <c r="F61" s="238"/>
      <c r="G61" s="238"/>
      <c r="H61" s="238"/>
      <c r="I61" s="238"/>
      <c r="J61" s="238"/>
      <c r="K61" s="238"/>
      <c r="L61" s="238"/>
      <c r="M61" s="240"/>
      <c r="N61" s="241"/>
      <c r="O61" s="241"/>
      <c r="P61" s="241"/>
      <c r="Q61" s="241"/>
      <c r="R61" s="241"/>
      <c r="S61" s="241"/>
      <c r="T61" s="241"/>
      <c r="U61" s="238"/>
      <c r="AE61" s="97"/>
      <c r="AF61" s="97"/>
    </row>
    <row r="62" spans="1:32" ht="15" customHeight="1" x14ac:dyDescent="0.3">
      <c r="B62" s="239"/>
      <c r="C62" s="238"/>
      <c r="D62" s="238"/>
      <c r="E62" s="238"/>
      <c r="F62" s="238"/>
      <c r="G62" s="238"/>
      <c r="H62" s="238"/>
      <c r="I62" s="238"/>
      <c r="J62" s="238"/>
      <c r="K62" s="238"/>
      <c r="L62" s="238"/>
      <c r="M62" s="240"/>
      <c r="N62" s="241"/>
      <c r="O62" s="241"/>
      <c r="P62" s="241"/>
      <c r="Q62" s="241"/>
      <c r="R62" s="241"/>
      <c r="S62" s="241"/>
      <c r="T62" s="241"/>
      <c r="U62" s="238"/>
      <c r="AE62" s="97"/>
      <c r="AF62" s="97"/>
    </row>
    <row r="63" spans="1:32" ht="18.75" x14ac:dyDescent="0.3">
      <c r="B63" s="238"/>
      <c r="C63" s="238"/>
      <c r="D63" s="238"/>
      <c r="E63" s="238"/>
      <c r="F63" s="238"/>
      <c r="G63" s="238"/>
      <c r="H63" s="238"/>
      <c r="I63" s="238"/>
      <c r="J63" s="238"/>
      <c r="K63" s="238"/>
      <c r="L63" s="238"/>
      <c r="M63" s="240"/>
      <c r="N63" s="240"/>
      <c r="O63" s="240"/>
      <c r="P63" s="242"/>
      <c r="Q63" s="240"/>
      <c r="R63" s="238"/>
      <c r="S63" s="238"/>
      <c r="T63" s="238"/>
      <c r="U63" s="238"/>
      <c r="Z63" s="77"/>
      <c r="AA63" s="77"/>
      <c r="AB63" s="6"/>
      <c r="AC63" s="6"/>
      <c r="AD63" s="6"/>
      <c r="AE63" s="97"/>
      <c r="AF63" s="97"/>
    </row>
    <row r="64" spans="1:32" ht="18.75" x14ac:dyDescent="0.3">
      <c r="B64" s="241" t="s">
        <v>258</v>
      </c>
      <c r="C64" s="238"/>
      <c r="D64" s="238"/>
      <c r="E64" s="238"/>
      <c r="F64" s="238"/>
      <c r="G64" s="238"/>
      <c r="H64" s="238"/>
      <c r="I64" s="238"/>
      <c r="J64" s="238"/>
      <c r="K64" s="238"/>
      <c r="L64" s="243"/>
      <c r="M64" s="243"/>
      <c r="N64" s="309" t="s">
        <v>219</v>
      </c>
      <c r="O64" s="309"/>
      <c r="P64" s="309"/>
      <c r="Q64" s="309"/>
      <c r="R64" s="309"/>
      <c r="S64" s="309"/>
      <c r="T64" s="309"/>
      <c r="U64" s="309"/>
      <c r="V64" s="309"/>
      <c r="W64" s="309"/>
      <c r="X64" s="7"/>
      <c r="Y64" s="7"/>
      <c r="AE64" s="97"/>
      <c r="AF64" s="97"/>
    </row>
    <row r="65" spans="1:32" s="6" customFormat="1" ht="12" customHeight="1" x14ac:dyDescent="0.25">
      <c r="A65" s="98"/>
      <c r="B65" s="98"/>
      <c r="C65" s="98"/>
      <c r="D65" s="98"/>
      <c r="E65" s="98"/>
      <c r="F65" s="98"/>
      <c r="G65" s="98"/>
      <c r="H65" s="98"/>
      <c r="I65" s="98"/>
      <c r="J65" s="98"/>
      <c r="K65" s="98"/>
      <c r="L65" s="5"/>
      <c r="M65" s="5"/>
      <c r="N65" s="5"/>
      <c r="O65" s="5"/>
      <c r="P65" s="5"/>
      <c r="Q65" s="5"/>
      <c r="R65" s="98"/>
      <c r="S65" s="98"/>
      <c r="T65" s="98"/>
      <c r="U65" s="98"/>
      <c r="V65" s="98"/>
      <c r="W65" s="98"/>
      <c r="X65" s="98"/>
      <c r="Y65" s="98"/>
      <c r="Z65" s="78"/>
      <c r="AA65" s="78"/>
      <c r="AB65" s="97"/>
      <c r="AC65" s="97"/>
      <c r="AD65" s="97"/>
      <c r="AE65" s="97"/>
      <c r="AF65" s="97"/>
    </row>
    <row r="66" spans="1:32" ht="15" x14ac:dyDescent="0.25">
      <c r="Z66" s="78"/>
      <c r="AA66" s="78"/>
      <c r="AB66" s="97"/>
      <c r="AC66" s="97"/>
      <c r="AD66" s="97"/>
      <c r="AE66" s="97"/>
      <c r="AF66" s="97"/>
    </row>
    <row r="67" spans="1:32" ht="15" x14ac:dyDescent="0.25">
      <c r="Z67" s="78"/>
      <c r="AA67" s="78"/>
      <c r="AB67" s="97"/>
      <c r="AC67" s="97"/>
      <c r="AD67" s="97"/>
      <c r="AE67" s="97"/>
      <c r="AF67" s="97"/>
    </row>
    <row r="68" spans="1:32" ht="15" x14ac:dyDescent="0.25">
      <c r="Z68" s="78"/>
      <c r="AA68" s="78"/>
      <c r="AB68" s="97"/>
      <c r="AC68" s="97"/>
      <c r="AD68" s="97"/>
      <c r="AE68" s="97"/>
      <c r="AF68" s="97"/>
    </row>
    <row r="69" spans="1:32" ht="15" x14ac:dyDescent="0.25">
      <c r="Z69" s="78"/>
      <c r="AA69" s="78"/>
      <c r="AB69" s="97"/>
      <c r="AC69" s="97"/>
      <c r="AD69" s="97"/>
      <c r="AE69" s="97"/>
      <c r="AF69" s="97"/>
    </row>
    <row r="79" spans="1:32" x14ac:dyDescent="0.2">
      <c r="B79" s="8"/>
    </row>
    <row r="80" spans="1:32" x14ac:dyDescent="0.2">
      <c r="B80" s="8"/>
    </row>
    <row r="81" spans="2:2" x14ac:dyDescent="0.2">
      <c r="B81" s="8"/>
    </row>
  </sheetData>
  <mergeCells count="18">
    <mergeCell ref="A1:E1"/>
    <mergeCell ref="A2:W2"/>
    <mergeCell ref="A4:A6"/>
    <mergeCell ref="B4:B6"/>
    <mergeCell ref="C4:C6"/>
    <mergeCell ref="D4:D6"/>
    <mergeCell ref="E4:U4"/>
    <mergeCell ref="V4:V6"/>
    <mergeCell ref="W4:W6"/>
    <mergeCell ref="E5:E6"/>
    <mergeCell ref="F5:F6"/>
    <mergeCell ref="G5:G6"/>
    <mergeCell ref="H5:S5"/>
    <mergeCell ref="T5:T6"/>
    <mergeCell ref="U5:U6"/>
    <mergeCell ref="N58:W58"/>
    <mergeCell ref="N64:W64"/>
    <mergeCell ref="N57:W57"/>
  </mergeCells>
  <pageMargins left="0" right="0" top="0.39370078740157483" bottom="0.23622047244094491" header="0.23622047244094491" footer="0.31496062992125984"/>
  <pageSetup paperSize="9"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4"/>
  <sheetViews>
    <sheetView view="pageBreakPreview" topLeftCell="A40" zoomScaleNormal="100" zoomScaleSheetLayoutView="100" workbookViewId="0">
      <selection activeCell="X1" sqref="X1:AI1048576"/>
    </sheetView>
  </sheetViews>
  <sheetFormatPr defaultRowHeight="11.25" x14ac:dyDescent="0.2"/>
  <cols>
    <col min="1" max="1" width="3.140625" style="98" customWidth="1"/>
    <col min="2" max="2" width="19.28515625" style="98" customWidth="1"/>
    <col min="3" max="3" width="5.7109375" style="98" customWidth="1"/>
    <col min="4" max="4" width="6.28515625" style="98" customWidth="1"/>
    <col min="5" max="5" width="9.7109375" style="98" customWidth="1"/>
    <col min="6" max="6" width="6.85546875" style="98" customWidth="1"/>
    <col min="7" max="7" width="8.42578125" style="98" customWidth="1"/>
    <col min="8" max="9" width="5.28515625" style="98" customWidth="1"/>
    <col min="10" max="10" width="5.85546875" style="98" customWidth="1"/>
    <col min="11" max="11" width="4.140625" style="98" customWidth="1"/>
    <col min="12" max="12" width="5.28515625" style="98" customWidth="1"/>
    <col min="13" max="13" width="5.7109375" style="98" customWidth="1"/>
    <col min="14" max="14" width="6.28515625" style="98" customWidth="1"/>
    <col min="15" max="15" width="4.7109375" style="98" customWidth="1"/>
    <col min="16" max="16" width="4.42578125" style="98" customWidth="1"/>
    <col min="17" max="17" width="4.85546875" style="98" customWidth="1"/>
    <col min="18" max="18" width="5.28515625" style="98" customWidth="1"/>
    <col min="19" max="19" width="5.85546875" style="98" customWidth="1"/>
    <col min="20" max="20" width="6.5703125" style="98" customWidth="1"/>
    <col min="21" max="21" width="6.28515625" style="98" customWidth="1"/>
    <col min="22" max="22" width="8.5703125" style="98" customWidth="1"/>
    <col min="23" max="23" width="6.7109375" style="98" customWidth="1"/>
    <col min="24" max="24" width="17.85546875" style="70" hidden="1" customWidth="1"/>
    <col min="25" max="25" width="17" style="70" hidden="1" customWidth="1"/>
    <col min="26" max="26" width="14" style="98" hidden="1" customWidth="1"/>
    <col min="27" max="27" width="13.5703125" style="98" hidden="1" customWidth="1"/>
    <col min="28" max="29" width="0" style="98" hidden="1" customWidth="1"/>
    <col min="30" max="30" width="11" style="98" hidden="1" customWidth="1"/>
    <col min="31" max="34" width="0" style="98" hidden="1" customWidth="1"/>
    <col min="35" max="35" width="14.42578125" style="98" hidden="1" customWidth="1"/>
    <col min="36" max="253" width="8.85546875" style="98"/>
    <col min="254" max="254" width="4.5703125" style="98" customWidth="1"/>
    <col min="255" max="255" width="21.140625" style="98" customWidth="1"/>
    <col min="256" max="257" width="4.85546875" style="98" customWidth="1"/>
    <col min="258" max="258" width="7.5703125" style="98" customWidth="1"/>
    <col min="259" max="259" width="6.28515625" style="98" customWidth="1"/>
    <col min="260" max="260" width="6.7109375" style="98" customWidth="1"/>
    <col min="261" max="262" width="5.28515625" style="98" customWidth="1"/>
    <col min="263" max="263" width="6" style="98" customWidth="1"/>
    <col min="264" max="264" width="4.85546875" style="98" customWidth="1"/>
    <col min="265" max="265" width="5" style="98" customWidth="1"/>
    <col min="266" max="267" width="7.42578125" style="98" customWidth="1"/>
    <col min="268" max="271" width="4.85546875" style="98" customWidth="1"/>
    <col min="272" max="272" width="6.140625" style="98" customWidth="1"/>
    <col min="273" max="273" width="6.7109375" style="98" customWidth="1"/>
    <col min="274" max="274" width="5.28515625" style="98" customWidth="1"/>
    <col min="275" max="276" width="6.85546875" style="98" customWidth="1"/>
    <col min="277" max="509" width="8.85546875" style="98"/>
    <col min="510" max="510" width="4.5703125" style="98" customWidth="1"/>
    <col min="511" max="511" width="21.140625" style="98" customWidth="1"/>
    <col min="512" max="513" width="4.85546875" style="98" customWidth="1"/>
    <col min="514" max="514" width="7.5703125" style="98" customWidth="1"/>
    <col min="515" max="515" width="6.28515625" style="98" customWidth="1"/>
    <col min="516" max="516" width="6.7109375" style="98" customWidth="1"/>
    <col min="517" max="518" width="5.28515625" style="98" customWidth="1"/>
    <col min="519" max="519" width="6" style="98" customWidth="1"/>
    <col min="520" max="520" width="4.85546875" style="98" customWidth="1"/>
    <col min="521" max="521" width="5" style="98" customWidth="1"/>
    <col min="522" max="523" width="7.42578125" style="98" customWidth="1"/>
    <col min="524" max="527" width="4.85546875" style="98" customWidth="1"/>
    <col min="528" max="528" width="6.140625" style="98" customWidth="1"/>
    <col min="529" max="529" width="6.7109375" style="98" customWidth="1"/>
    <col min="530" max="530" width="5.28515625" style="98" customWidth="1"/>
    <col min="531" max="532" width="6.85546875" style="98" customWidth="1"/>
    <col min="533" max="765" width="8.85546875" style="98"/>
    <col min="766" max="766" width="4.5703125" style="98" customWidth="1"/>
    <col min="767" max="767" width="21.140625" style="98" customWidth="1"/>
    <col min="768" max="769" width="4.85546875" style="98" customWidth="1"/>
    <col min="770" max="770" width="7.5703125" style="98" customWidth="1"/>
    <col min="771" max="771" width="6.28515625" style="98" customWidth="1"/>
    <col min="772" max="772" width="6.7109375" style="98" customWidth="1"/>
    <col min="773" max="774" width="5.28515625" style="98" customWidth="1"/>
    <col min="775" max="775" width="6" style="98" customWidth="1"/>
    <col min="776" max="776" width="4.85546875" style="98" customWidth="1"/>
    <col min="777" max="777" width="5" style="98" customWidth="1"/>
    <col min="778" max="779" width="7.42578125" style="98" customWidth="1"/>
    <col min="780" max="783" width="4.85546875" style="98" customWidth="1"/>
    <col min="784" max="784" width="6.140625" style="98" customWidth="1"/>
    <col min="785" max="785" width="6.7109375" style="98" customWidth="1"/>
    <col min="786" max="786" width="5.28515625" style="98" customWidth="1"/>
    <col min="787" max="788" width="6.85546875" style="98" customWidth="1"/>
    <col min="789" max="1021" width="8.85546875" style="98"/>
    <col min="1022" max="1022" width="4.5703125" style="98" customWidth="1"/>
    <col min="1023" max="1023" width="21.140625" style="98" customWidth="1"/>
    <col min="1024" max="1025" width="4.85546875" style="98" customWidth="1"/>
    <col min="1026" max="1026" width="7.5703125" style="98" customWidth="1"/>
    <col min="1027" max="1027" width="6.28515625" style="98" customWidth="1"/>
    <col min="1028" max="1028" width="6.7109375" style="98" customWidth="1"/>
    <col min="1029" max="1030" width="5.28515625" style="98" customWidth="1"/>
    <col min="1031" max="1031" width="6" style="98" customWidth="1"/>
    <col min="1032" max="1032" width="4.85546875" style="98" customWidth="1"/>
    <col min="1033" max="1033" width="5" style="98" customWidth="1"/>
    <col min="1034" max="1035" width="7.42578125" style="98" customWidth="1"/>
    <col min="1036" max="1039" width="4.85546875" style="98" customWidth="1"/>
    <col min="1040" max="1040" width="6.140625" style="98" customWidth="1"/>
    <col min="1041" max="1041" width="6.7109375" style="98" customWidth="1"/>
    <col min="1042" max="1042" width="5.28515625" style="98" customWidth="1"/>
    <col min="1043" max="1044" width="6.85546875" style="98" customWidth="1"/>
    <col min="1045" max="1277" width="8.85546875" style="98"/>
    <col min="1278" max="1278" width="4.5703125" style="98" customWidth="1"/>
    <col min="1279" max="1279" width="21.140625" style="98" customWidth="1"/>
    <col min="1280" max="1281" width="4.85546875" style="98" customWidth="1"/>
    <col min="1282" max="1282" width="7.5703125" style="98" customWidth="1"/>
    <col min="1283" max="1283" width="6.28515625" style="98" customWidth="1"/>
    <col min="1284" max="1284" width="6.7109375" style="98" customWidth="1"/>
    <col min="1285" max="1286" width="5.28515625" style="98" customWidth="1"/>
    <col min="1287" max="1287" width="6" style="98" customWidth="1"/>
    <col min="1288" max="1288" width="4.85546875" style="98" customWidth="1"/>
    <col min="1289" max="1289" width="5" style="98" customWidth="1"/>
    <col min="1290" max="1291" width="7.42578125" style="98" customWidth="1"/>
    <col min="1292" max="1295" width="4.85546875" style="98" customWidth="1"/>
    <col min="1296" max="1296" width="6.140625" style="98" customWidth="1"/>
    <col min="1297" max="1297" width="6.7109375" style="98" customWidth="1"/>
    <col min="1298" max="1298" width="5.28515625" style="98" customWidth="1"/>
    <col min="1299" max="1300" width="6.85546875" style="98" customWidth="1"/>
    <col min="1301" max="1533" width="8.85546875" style="98"/>
    <col min="1534" max="1534" width="4.5703125" style="98" customWidth="1"/>
    <col min="1535" max="1535" width="21.140625" style="98" customWidth="1"/>
    <col min="1536" max="1537" width="4.85546875" style="98" customWidth="1"/>
    <col min="1538" max="1538" width="7.5703125" style="98" customWidth="1"/>
    <col min="1539" max="1539" width="6.28515625" style="98" customWidth="1"/>
    <col min="1540" max="1540" width="6.7109375" style="98" customWidth="1"/>
    <col min="1541" max="1542" width="5.28515625" style="98" customWidth="1"/>
    <col min="1543" max="1543" width="6" style="98" customWidth="1"/>
    <col min="1544" max="1544" width="4.85546875" style="98" customWidth="1"/>
    <col min="1545" max="1545" width="5" style="98" customWidth="1"/>
    <col min="1546" max="1547" width="7.42578125" style="98" customWidth="1"/>
    <col min="1548" max="1551" width="4.85546875" style="98" customWidth="1"/>
    <col min="1552" max="1552" width="6.140625" style="98" customWidth="1"/>
    <col min="1553" max="1553" width="6.7109375" style="98" customWidth="1"/>
    <col min="1554" max="1554" width="5.28515625" style="98" customWidth="1"/>
    <col min="1555" max="1556" width="6.85546875" style="98" customWidth="1"/>
    <col min="1557" max="1789" width="8.85546875" style="98"/>
    <col min="1790" max="1790" width="4.5703125" style="98" customWidth="1"/>
    <col min="1791" max="1791" width="21.140625" style="98" customWidth="1"/>
    <col min="1792" max="1793" width="4.85546875" style="98" customWidth="1"/>
    <col min="1794" max="1794" width="7.5703125" style="98" customWidth="1"/>
    <col min="1795" max="1795" width="6.28515625" style="98" customWidth="1"/>
    <col min="1796" max="1796" width="6.7109375" style="98" customWidth="1"/>
    <col min="1797" max="1798" width="5.28515625" style="98" customWidth="1"/>
    <col min="1799" max="1799" width="6" style="98" customWidth="1"/>
    <col min="1800" max="1800" width="4.85546875" style="98" customWidth="1"/>
    <col min="1801" max="1801" width="5" style="98" customWidth="1"/>
    <col min="1802" max="1803" width="7.42578125" style="98" customWidth="1"/>
    <col min="1804" max="1807" width="4.85546875" style="98" customWidth="1"/>
    <col min="1808" max="1808" width="6.140625" style="98" customWidth="1"/>
    <col min="1809" max="1809" width="6.7109375" style="98" customWidth="1"/>
    <col min="1810" max="1810" width="5.28515625" style="98" customWidth="1"/>
    <col min="1811" max="1812" width="6.85546875" style="98" customWidth="1"/>
    <col min="1813" max="2045" width="8.85546875" style="98"/>
    <col min="2046" max="2046" width="4.5703125" style="98" customWidth="1"/>
    <col min="2047" max="2047" width="21.140625" style="98" customWidth="1"/>
    <col min="2048" max="2049" width="4.85546875" style="98" customWidth="1"/>
    <col min="2050" max="2050" width="7.5703125" style="98" customWidth="1"/>
    <col min="2051" max="2051" width="6.28515625" style="98" customWidth="1"/>
    <col min="2052" max="2052" width="6.7109375" style="98" customWidth="1"/>
    <col min="2053" max="2054" width="5.28515625" style="98" customWidth="1"/>
    <col min="2055" max="2055" width="6" style="98" customWidth="1"/>
    <col min="2056" max="2056" width="4.85546875" style="98" customWidth="1"/>
    <col min="2057" max="2057" width="5" style="98" customWidth="1"/>
    <col min="2058" max="2059" width="7.42578125" style="98" customWidth="1"/>
    <col min="2060" max="2063" width="4.85546875" style="98" customWidth="1"/>
    <col min="2064" max="2064" width="6.140625" style="98" customWidth="1"/>
    <col min="2065" max="2065" width="6.7109375" style="98" customWidth="1"/>
    <col min="2066" max="2066" width="5.28515625" style="98" customWidth="1"/>
    <col min="2067" max="2068" width="6.85546875" style="98" customWidth="1"/>
    <col min="2069" max="2301" width="8.85546875" style="98"/>
    <col min="2302" max="2302" width="4.5703125" style="98" customWidth="1"/>
    <col min="2303" max="2303" width="21.140625" style="98" customWidth="1"/>
    <col min="2304" max="2305" width="4.85546875" style="98" customWidth="1"/>
    <col min="2306" max="2306" width="7.5703125" style="98" customWidth="1"/>
    <col min="2307" max="2307" width="6.28515625" style="98" customWidth="1"/>
    <col min="2308" max="2308" width="6.7109375" style="98" customWidth="1"/>
    <col min="2309" max="2310" width="5.28515625" style="98" customWidth="1"/>
    <col min="2311" max="2311" width="6" style="98" customWidth="1"/>
    <col min="2312" max="2312" width="4.85546875" style="98" customWidth="1"/>
    <col min="2313" max="2313" width="5" style="98" customWidth="1"/>
    <col min="2314" max="2315" width="7.42578125" style="98" customWidth="1"/>
    <col min="2316" max="2319" width="4.85546875" style="98" customWidth="1"/>
    <col min="2320" max="2320" width="6.140625" style="98" customWidth="1"/>
    <col min="2321" max="2321" width="6.7109375" style="98" customWidth="1"/>
    <col min="2322" max="2322" width="5.28515625" style="98" customWidth="1"/>
    <col min="2323" max="2324" width="6.85546875" style="98" customWidth="1"/>
    <col min="2325" max="2557" width="8.85546875" style="98"/>
    <col min="2558" max="2558" width="4.5703125" style="98" customWidth="1"/>
    <col min="2559" max="2559" width="21.140625" style="98" customWidth="1"/>
    <col min="2560" max="2561" width="4.85546875" style="98" customWidth="1"/>
    <col min="2562" max="2562" width="7.5703125" style="98" customWidth="1"/>
    <col min="2563" max="2563" width="6.28515625" style="98" customWidth="1"/>
    <col min="2564" max="2564" width="6.7109375" style="98" customWidth="1"/>
    <col min="2565" max="2566" width="5.28515625" style="98" customWidth="1"/>
    <col min="2567" max="2567" width="6" style="98" customWidth="1"/>
    <col min="2568" max="2568" width="4.85546875" style="98" customWidth="1"/>
    <col min="2569" max="2569" width="5" style="98" customWidth="1"/>
    <col min="2570" max="2571" width="7.42578125" style="98" customWidth="1"/>
    <col min="2572" max="2575" width="4.85546875" style="98" customWidth="1"/>
    <col min="2576" max="2576" width="6.140625" style="98" customWidth="1"/>
    <col min="2577" max="2577" width="6.7109375" style="98" customWidth="1"/>
    <col min="2578" max="2578" width="5.28515625" style="98" customWidth="1"/>
    <col min="2579" max="2580" width="6.85546875" style="98" customWidth="1"/>
    <col min="2581" max="2813" width="8.85546875" style="98"/>
    <col min="2814" max="2814" width="4.5703125" style="98" customWidth="1"/>
    <col min="2815" max="2815" width="21.140625" style="98" customWidth="1"/>
    <col min="2816" max="2817" width="4.85546875" style="98" customWidth="1"/>
    <col min="2818" max="2818" width="7.5703125" style="98" customWidth="1"/>
    <col min="2819" max="2819" width="6.28515625" style="98" customWidth="1"/>
    <col min="2820" max="2820" width="6.7109375" style="98" customWidth="1"/>
    <col min="2821" max="2822" width="5.28515625" style="98" customWidth="1"/>
    <col min="2823" max="2823" width="6" style="98" customWidth="1"/>
    <col min="2824" max="2824" width="4.85546875" style="98" customWidth="1"/>
    <col min="2825" max="2825" width="5" style="98" customWidth="1"/>
    <col min="2826" max="2827" width="7.42578125" style="98" customWidth="1"/>
    <col min="2828" max="2831" width="4.85546875" style="98" customWidth="1"/>
    <col min="2832" max="2832" width="6.140625" style="98" customWidth="1"/>
    <col min="2833" max="2833" width="6.7109375" style="98" customWidth="1"/>
    <col min="2834" max="2834" width="5.28515625" style="98" customWidth="1"/>
    <col min="2835" max="2836" width="6.85546875" style="98" customWidth="1"/>
    <col min="2837" max="3069" width="8.85546875" style="98"/>
    <col min="3070" max="3070" width="4.5703125" style="98" customWidth="1"/>
    <col min="3071" max="3071" width="21.140625" style="98" customWidth="1"/>
    <col min="3072" max="3073" width="4.85546875" style="98" customWidth="1"/>
    <col min="3074" max="3074" width="7.5703125" style="98" customWidth="1"/>
    <col min="3075" max="3075" width="6.28515625" style="98" customWidth="1"/>
    <col min="3076" max="3076" width="6.7109375" style="98" customWidth="1"/>
    <col min="3077" max="3078" width="5.28515625" style="98" customWidth="1"/>
    <col min="3079" max="3079" width="6" style="98" customWidth="1"/>
    <col min="3080" max="3080" width="4.85546875" style="98" customWidth="1"/>
    <col min="3081" max="3081" width="5" style="98" customWidth="1"/>
    <col min="3082" max="3083" width="7.42578125" style="98" customWidth="1"/>
    <col min="3084" max="3087" width="4.85546875" style="98" customWidth="1"/>
    <col min="3088" max="3088" width="6.140625" style="98" customWidth="1"/>
    <col min="3089" max="3089" width="6.7109375" style="98" customWidth="1"/>
    <col min="3090" max="3090" width="5.28515625" style="98" customWidth="1"/>
    <col min="3091" max="3092" width="6.85546875" style="98" customWidth="1"/>
    <col min="3093" max="3325" width="8.85546875" style="98"/>
    <col min="3326" max="3326" width="4.5703125" style="98" customWidth="1"/>
    <col min="3327" max="3327" width="21.140625" style="98" customWidth="1"/>
    <col min="3328" max="3329" width="4.85546875" style="98" customWidth="1"/>
    <col min="3330" max="3330" width="7.5703125" style="98" customWidth="1"/>
    <col min="3331" max="3331" width="6.28515625" style="98" customWidth="1"/>
    <col min="3332" max="3332" width="6.7109375" style="98" customWidth="1"/>
    <col min="3333" max="3334" width="5.28515625" style="98" customWidth="1"/>
    <col min="3335" max="3335" width="6" style="98" customWidth="1"/>
    <col min="3336" max="3336" width="4.85546875" style="98" customWidth="1"/>
    <col min="3337" max="3337" width="5" style="98" customWidth="1"/>
    <col min="3338" max="3339" width="7.42578125" style="98" customWidth="1"/>
    <col min="3340" max="3343" width="4.85546875" style="98" customWidth="1"/>
    <col min="3344" max="3344" width="6.140625" style="98" customWidth="1"/>
    <col min="3345" max="3345" width="6.7109375" style="98" customWidth="1"/>
    <col min="3346" max="3346" width="5.28515625" style="98" customWidth="1"/>
    <col min="3347" max="3348" width="6.85546875" style="98" customWidth="1"/>
    <col min="3349" max="3581" width="8.85546875" style="98"/>
    <col min="3582" max="3582" width="4.5703125" style="98" customWidth="1"/>
    <col min="3583" max="3583" width="21.140625" style="98" customWidth="1"/>
    <col min="3584" max="3585" width="4.85546875" style="98" customWidth="1"/>
    <col min="3586" max="3586" width="7.5703125" style="98" customWidth="1"/>
    <col min="3587" max="3587" width="6.28515625" style="98" customWidth="1"/>
    <col min="3588" max="3588" width="6.7109375" style="98" customWidth="1"/>
    <col min="3589" max="3590" width="5.28515625" style="98" customWidth="1"/>
    <col min="3591" max="3591" width="6" style="98" customWidth="1"/>
    <col min="3592" max="3592" width="4.85546875" style="98" customWidth="1"/>
    <col min="3593" max="3593" width="5" style="98" customWidth="1"/>
    <col min="3594" max="3595" width="7.42578125" style="98" customWidth="1"/>
    <col min="3596" max="3599" width="4.85546875" style="98" customWidth="1"/>
    <col min="3600" max="3600" width="6.140625" style="98" customWidth="1"/>
    <col min="3601" max="3601" width="6.7109375" style="98" customWidth="1"/>
    <col min="3602" max="3602" width="5.28515625" style="98" customWidth="1"/>
    <col min="3603" max="3604" width="6.85546875" style="98" customWidth="1"/>
    <col min="3605" max="3837" width="8.85546875" style="98"/>
    <col min="3838" max="3838" width="4.5703125" style="98" customWidth="1"/>
    <col min="3839" max="3839" width="21.140625" style="98" customWidth="1"/>
    <col min="3840" max="3841" width="4.85546875" style="98" customWidth="1"/>
    <col min="3842" max="3842" width="7.5703125" style="98" customWidth="1"/>
    <col min="3843" max="3843" width="6.28515625" style="98" customWidth="1"/>
    <col min="3844" max="3844" width="6.7109375" style="98" customWidth="1"/>
    <col min="3845" max="3846" width="5.28515625" style="98" customWidth="1"/>
    <col min="3847" max="3847" width="6" style="98" customWidth="1"/>
    <col min="3848" max="3848" width="4.85546875" style="98" customWidth="1"/>
    <col min="3849" max="3849" width="5" style="98" customWidth="1"/>
    <col min="3850" max="3851" width="7.42578125" style="98" customWidth="1"/>
    <col min="3852" max="3855" width="4.85546875" style="98" customWidth="1"/>
    <col min="3856" max="3856" width="6.140625" style="98" customWidth="1"/>
    <col min="3857" max="3857" width="6.7109375" style="98" customWidth="1"/>
    <col min="3858" max="3858" width="5.28515625" style="98" customWidth="1"/>
    <col min="3859" max="3860" width="6.85546875" style="98" customWidth="1"/>
    <col min="3861" max="4093" width="8.85546875" style="98"/>
    <col min="4094" max="4094" width="4.5703125" style="98" customWidth="1"/>
    <col min="4095" max="4095" width="21.140625" style="98" customWidth="1"/>
    <col min="4096" max="4097" width="4.85546875" style="98" customWidth="1"/>
    <col min="4098" max="4098" width="7.5703125" style="98" customWidth="1"/>
    <col min="4099" max="4099" width="6.28515625" style="98" customWidth="1"/>
    <col min="4100" max="4100" width="6.7109375" style="98" customWidth="1"/>
    <col min="4101" max="4102" width="5.28515625" style="98" customWidth="1"/>
    <col min="4103" max="4103" width="6" style="98" customWidth="1"/>
    <col min="4104" max="4104" width="4.85546875" style="98" customWidth="1"/>
    <col min="4105" max="4105" width="5" style="98" customWidth="1"/>
    <col min="4106" max="4107" width="7.42578125" style="98" customWidth="1"/>
    <col min="4108" max="4111" width="4.85546875" style="98" customWidth="1"/>
    <col min="4112" max="4112" width="6.140625" style="98" customWidth="1"/>
    <col min="4113" max="4113" width="6.7109375" style="98" customWidth="1"/>
    <col min="4114" max="4114" width="5.28515625" style="98" customWidth="1"/>
    <col min="4115" max="4116" width="6.85546875" style="98" customWidth="1"/>
    <col min="4117" max="4349" width="8.85546875" style="98"/>
    <col min="4350" max="4350" width="4.5703125" style="98" customWidth="1"/>
    <col min="4351" max="4351" width="21.140625" style="98" customWidth="1"/>
    <col min="4352" max="4353" width="4.85546875" style="98" customWidth="1"/>
    <col min="4354" max="4354" width="7.5703125" style="98" customWidth="1"/>
    <col min="4355" max="4355" width="6.28515625" style="98" customWidth="1"/>
    <col min="4356" max="4356" width="6.7109375" style="98" customWidth="1"/>
    <col min="4357" max="4358" width="5.28515625" style="98" customWidth="1"/>
    <col min="4359" max="4359" width="6" style="98" customWidth="1"/>
    <col min="4360" max="4360" width="4.85546875" style="98" customWidth="1"/>
    <col min="4361" max="4361" width="5" style="98" customWidth="1"/>
    <col min="4362" max="4363" width="7.42578125" style="98" customWidth="1"/>
    <col min="4364" max="4367" width="4.85546875" style="98" customWidth="1"/>
    <col min="4368" max="4368" width="6.140625" style="98" customWidth="1"/>
    <col min="4369" max="4369" width="6.7109375" style="98" customWidth="1"/>
    <col min="4370" max="4370" width="5.28515625" style="98" customWidth="1"/>
    <col min="4371" max="4372" width="6.85546875" style="98" customWidth="1"/>
    <col min="4373" max="4605" width="8.85546875" style="98"/>
    <col min="4606" max="4606" width="4.5703125" style="98" customWidth="1"/>
    <col min="4607" max="4607" width="21.140625" style="98" customWidth="1"/>
    <col min="4608" max="4609" width="4.85546875" style="98" customWidth="1"/>
    <col min="4610" max="4610" width="7.5703125" style="98" customWidth="1"/>
    <col min="4611" max="4611" width="6.28515625" style="98" customWidth="1"/>
    <col min="4612" max="4612" width="6.7109375" style="98" customWidth="1"/>
    <col min="4613" max="4614" width="5.28515625" style="98" customWidth="1"/>
    <col min="4615" max="4615" width="6" style="98" customWidth="1"/>
    <col min="4616" max="4616" width="4.85546875" style="98" customWidth="1"/>
    <col min="4617" max="4617" width="5" style="98" customWidth="1"/>
    <col min="4618" max="4619" width="7.42578125" style="98" customWidth="1"/>
    <col min="4620" max="4623" width="4.85546875" style="98" customWidth="1"/>
    <col min="4624" max="4624" width="6.140625" style="98" customWidth="1"/>
    <col min="4625" max="4625" width="6.7109375" style="98" customWidth="1"/>
    <col min="4626" max="4626" width="5.28515625" style="98" customWidth="1"/>
    <col min="4627" max="4628" width="6.85546875" style="98" customWidth="1"/>
    <col min="4629" max="4861" width="8.85546875" style="98"/>
    <col min="4862" max="4862" width="4.5703125" style="98" customWidth="1"/>
    <col min="4863" max="4863" width="21.140625" style="98" customWidth="1"/>
    <col min="4864" max="4865" width="4.85546875" style="98" customWidth="1"/>
    <col min="4866" max="4866" width="7.5703125" style="98" customWidth="1"/>
    <col min="4867" max="4867" width="6.28515625" style="98" customWidth="1"/>
    <col min="4868" max="4868" width="6.7109375" style="98" customWidth="1"/>
    <col min="4869" max="4870" width="5.28515625" style="98" customWidth="1"/>
    <col min="4871" max="4871" width="6" style="98" customWidth="1"/>
    <col min="4872" max="4872" width="4.85546875" style="98" customWidth="1"/>
    <col min="4873" max="4873" width="5" style="98" customWidth="1"/>
    <col min="4874" max="4875" width="7.42578125" style="98" customWidth="1"/>
    <col min="4876" max="4879" width="4.85546875" style="98" customWidth="1"/>
    <col min="4880" max="4880" width="6.140625" style="98" customWidth="1"/>
    <col min="4881" max="4881" width="6.7109375" style="98" customWidth="1"/>
    <col min="4882" max="4882" width="5.28515625" style="98" customWidth="1"/>
    <col min="4883" max="4884" width="6.85546875" style="98" customWidth="1"/>
    <col min="4885" max="5117" width="8.85546875" style="98"/>
    <col min="5118" max="5118" width="4.5703125" style="98" customWidth="1"/>
    <col min="5119" max="5119" width="21.140625" style="98" customWidth="1"/>
    <col min="5120" max="5121" width="4.85546875" style="98" customWidth="1"/>
    <col min="5122" max="5122" width="7.5703125" style="98" customWidth="1"/>
    <col min="5123" max="5123" width="6.28515625" style="98" customWidth="1"/>
    <col min="5124" max="5124" width="6.7109375" style="98" customWidth="1"/>
    <col min="5125" max="5126" width="5.28515625" style="98" customWidth="1"/>
    <col min="5127" max="5127" width="6" style="98" customWidth="1"/>
    <col min="5128" max="5128" width="4.85546875" style="98" customWidth="1"/>
    <col min="5129" max="5129" width="5" style="98" customWidth="1"/>
    <col min="5130" max="5131" width="7.42578125" style="98" customWidth="1"/>
    <col min="5132" max="5135" width="4.85546875" style="98" customWidth="1"/>
    <col min="5136" max="5136" width="6.140625" style="98" customWidth="1"/>
    <col min="5137" max="5137" width="6.7109375" style="98" customWidth="1"/>
    <col min="5138" max="5138" width="5.28515625" style="98" customWidth="1"/>
    <col min="5139" max="5140" width="6.85546875" style="98" customWidth="1"/>
    <col min="5141" max="5373" width="8.85546875" style="98"/>
    <col min="5374" max="5374" width="4.5703125" style="98" customWidth="1"/>
    <col min="5375" max="5375" width="21.140625" style="98" customWidth="1"/>
    <col min="5376" max="5377" width="4.85546875" style="98" customWidth="1"/>
    <col min="5378" max="5378" width="7.5703125" style="98" customWidth="1"/>
    <col min="5379" max="5379" width="6.28515625" style="98" customWidth="1"/>
    <col min="5380" max="5380" width="6.7109375" style="98" customWidth="1"/>
    <col min="5381" max="5382" width="5.28515625" style="98" customWidth="1"/>
    <col min="5383" max="5383" width="6" style="98" customWidth="1"/>
    <col min="5384" max="5384" width="4.85546875" style="98" customWidth="1"/>
    <col min="5385" max="5385" width="5" style="98" customWidth="1"/>
    <col min="5386" max="5387" width="7.42578125" style="98" customWidth="1"/>
    <col min="5388" max="5391" width="4.85546875" style="98" customWidth="1"/>
    <col min="5392" max="5392" width="6.140625" style="98" customWidth="1"/>
    <col min="5393" max="5393" width="6.7109375" style="98" customWidth="1"/>
    <col min="5394" max="5394" width="5.28515625" style="98" customWidth="1"/>
    <col min="5395" max="5396" width="6.85546875" style="98" customWidth="1"/>
    <col min="5397" max="5629" width="8.85546875" style="98"/>
    <col min="5630" max="5630" width="4.5703125" style="98" customWidth="1"/>
    <col min="5631" max="5631" width="21.140625" style="98" customWidth="1"/>
    <col min="5632" max="5633" width="4.85546875" style="98" customWidth="1"/>
    <col min="5634" max="5634" width="7.5703125" style="98" customWidth="1"/>
    <col min="5635" max="5635" width="6.28515625" style="98" customWidth="1"/>
    <col min="5636" max="5636" width="6.7109375" style="98" customWidth="1"/>
    <col min="5637" max="5638" width="5.28515625" style="98" customWidth="1"/>
    <col min="5639" max="5639" width="6" style="98" customWidth="1"/>
    <col min="5640" max="5640" width="4.85546875" style="98" customWidth="1"/>
    <col min="5641" max="5641" width="5" style="98" customWidth="1"/>
    <col min="5642" max="5643" width="7.42578125" style="98" customWidth="1"/>
    <col min="5644" max="5647" width="4.85546875" style="98" customWidth="1"/>
    <col min="5648" max="5648" width="6.140625" style="98" customWidth="1"/>
    <col min="5649" max="5649" width="6.7109375" style="98" customWidth="1"/>
    <col min="5650" max="5650" width="5.28515625" style="98" customWidth="1"/>
    <col min="5651" max="5652" width="6.85546875" style="98" customWidth="1"/>
    <col min="5653" max="5885" width="8.85546875" style="98"/>
    <col min="5886" max="5886" width="4.5703125" style="98" customWidth="1"/>
    <col min="5887" max="5887" width="21.140625" style="98" customWidth="1"/>
    <col min="5888" max="5889" width="4.85546875" style="98" customWidth="1"/>
    <col min="5890" max="5890" width="7.5703125" style="98" customWidth="1"/>
    <col min="5891" max="5891" width="6.28515625" style="98" customWidth="1"/>
    <col min="5892" max="5892" width="6.7109375" style="98" customWidth="1"/>
    <col min="5893" max="5894" width="5.28515625" style="98" customWidth="1"/>
    <col min="5895" max="5895" width="6" style="98" customWidth="1"/>
    <col min="5896" max="5896" width="4.85546875" style="98" customWidth="1"/>
    <col min="5897" max="5897" width="5" style="98" customWidth="1"/>
    <col min="5898" max="5899" width="7.42578125" style="98" customWidth="1"/>
    <col min="5900" max="5903" width="4.85546875" style="98" customWidth="1"/>
    <col min="5904" max="5904" width="6.140625" style="98" customWidth="1"/>
    <col min="5905" max="5905" width="6.7109375" style="98" customWidth="1"/>
    <col min="5906" max="5906" width="5.28515625" style="98" customWidth="1"/>
    <col min="5907" max="5908" width="6.85546875" style="98" customWidth="1"/>
    <col min="5909" max="6141" width="8.85546875" style="98"/>
    <col min="6142" max="6142" width="4.5703125" style="98" customWidth="1"/>
    <col min="6143" max="6143" width="21.140625" style="98" customWidth="1"/>
    <col min="6144" max="6145" width="4.85546875" style="98" customWidth="1"/>
    <col min="6146" max="6146" width="7.5703125" style="98" customWidth="1"/>
    <col min="6147" max="6147" width="6.28515625" style="98" customWidth="1"/>
    <col min="6148" max="6148" width="6.7109375" style="98" customWidth="1"/>
    <col min="6149" max="6150" width="5.28515625" style="98" customWidth="1"/>
    <col min="6151" max="6151" width="6" style="98" customWidth="1"/>
    <col min="6152" max="6152" width="4.85546875" style="98" customWidth="1"/>
    <col min="6153" max="6153" width="5" style="98" customWidth="1"/>
    <col min="6154" max="6155" width="7.42578125" style="98" customWidth="1"/>
    <col min="6156" max="6159" width="4.85546875" style="98" customWidth="1"/>
    <col min="6160" max="6160" width="6.140625" style="98" customWidth="1"/>
    <col min="6161" max="6161" width="6.7109375" style="98" customWidth="1"/>
    <col min="6162" max="6162" width="5.28515625" style="98" customWidth="1"/>
    <col min="6163" max="6164" width="6.85546875" style="98" customWidth="1"/>
    <col min="6165" max="6397" width="8.85546875" style="98"/>
    <col min="6398" max="6398" width="4.5703125" style="98" customWidth="1"/>
    <col min="6399" max="6399" width="21.140625" style="98" customWidth="1"/>
    <col min="6400" max="6401" width="4.85546875" style="98" customWidth="1"/>
    <col min="6402" max="6402" width="7.5703125" style="98" customWidth="1"/>
    <col min="6403" max="6403" width="6.28515625" style="98" customWidth="1"/>
    <col min="6404" max="6404" width="6.7109375" style="98" customWidth="1"/>
    <col min="6405" max="6406" width="5.28515625" style="98" customWidth="1"/>
    <col min="6407" max="6407" width="6" style="98" customWidth="1"/>
    <col min="6408" max="6408" width="4.85546875" style="98" customWidth="1"/>
    <col min="6409" max="6409" width="5" style="98" customWidth="1"/>
    <col min="6410" max="6411" width="7.42578125" style="98" customWidth="1"/>
    <col min="6412" max="6415" width="4.85546875" style="98" customWidth="1"/>
    <col min="6416" max="6416" width="6.140625" style="98" customWidth="1"/>
    <col min="6417" max="6417" width="6.7109375" style="98" customWidth="1"/>
    <col min="6418" max="6418" width="5.28515625" style="98" customWidth="1"/>
    <col min="6419" max="6420" width="6.85546875" style="98" customWidth="1"/>
    <col min="6421" max="6653" width="8.85546875" style="98"/>
    <col min="6654" max="6654" width="4.5703125" style="98" customWidth="1"/>
    <col min="6655" max="6655" width="21.140625" style="98" customWidth="1"/>
    <col min="6656" max="6657" width="4.85546875" style="98" customWidth="1"/>
    <col min="6658" max="6658" width="7.5703125" style="98" customWidth="1"/>
    <col min="6659" max="6659" width="6.28515625" style="98" customWidth="1"/>
    <col min="6660" max="6660" width="6.7109375" style="98" customWidth="1"/>
    <col min="6661" max="6662" width="5.28515625" style="98" customWidth="1"/>
    <col min="6663" max="6663" width="6" style="98" customWidth="1"/>
    <col min="6664" max="6664" width="4.85546875" style="98" customWidth="1"/>
    <col min="6665" max="6665" width="5" style="98" customWidth="1"/>
    <col min="6666" max="6667" width="7.42578125" style="98" customWidth="1"/>
    <col min="6668" max="6671" width="4.85546875" style="98" customWidth="1"/>
    <col min="6672" max="6672" width="6.140625" style="98" customWidth="1"/>
    <col min="6673" max="6673" width="6.7109375" style="98" customWidth="1"/>
    <col min="6674" max="6674" width="5.28515625" style="98" customWidth="1"/>
    <col min="6675" max="6676" width="6.85546875" style="98" customWidth="1"/>
    <col min="6677" max="6909" width="8.85546875" style="98"/>
    <col min="6910" max="6910" width="4.5703125" style="98" customWidth="1"/>
    <col min="6911" max="6911" width="21.140625" style="98" customWidth="1"/>
    <col min="6912" max="6913" width="4.85546875" style="98" customWidth="1"/>
    <col min="6914" max="6914" width="7.5703125" style="98" customWidth="1"/>
    <col min="6915" max="6915" width="6.28515625" style="98" customWidth="1"/>
    <col min="6916" max="6916" width="6.7109375" style="98" customWidth="1"/>
    <col min="6917" max="6918" width="5.28515625" style="98" customWidth="1"/>
    <col min="6919" max="6919" width="6" style="98" customWidth="1"/>
    <col min="6920" max="6920" width="4.85546875" style="98" customWidth="1"/>
    <col min="6921" max="6921" width="5" style="98" customWidth="1"/>
    <col min="6922" max="6923" width="7.42578125" style="98" customWidth="1"/>
    <col min="6924" max="6927" width="4.85546875" style="98" customWidth="1"/>
    <col min="6928" max="6928" width="6.140625" style="98" customWidth="1"/>
    <col min="6929" max="6929" width="6.7109375" style="98" customWidth="1"/>
    <col min="6930" max="6930" width="5.28515625" style="98" customWidth="1"/>
    <col min="6931" max="6932" width="6.85546875" style="98" customWidth="1"/>
    <col min="6933" max="7165" width="8.85546875" style="98"/>
    <col min="7166" max="7166" width="4.5703125" style="98" customWidth="1"/>
    <col min="7167" max="7167" width="21.140625" style="98" customWidth="1"/>
    <col min="7168" max="7169" width="4.85546875" style="98" customWidth="1"/>
    <col min="7170" max="7170" width="7.5703125" style="98" customWidth="1"/>
    <col min="7171" max="7171" width="6.28515625" style="98" customWidth="1"/>
    <col min="7172" max="7172" width="6.7109375" style="98" customWidth="1"/>
    <col min="7173" max="7174" width="5.28515625" style="98" customWidth="1"/>
    <col min="7175" max="7175" width="6" style="98" customWidth="1"/>
    <col min="7176" max="7176" width="4.85546875" style="98" customWidth="1"/>
    <col min="7177" max="7177" width="5" style="98" customWidth="1"/>
    <col min="7178" max="7179" width="7.42578125" style="98" customWidth="1"/>
    <col min="7180" max="7183" width="4.85546875" style="98" customWidth="1"/>
    <col min="7184" max="7184" width="6.140625" style="98" customWidth="1"/>
    <col min="7185" max="7185" width="6.7109375" style="98" customWidth="1"/>
    <col min="7186" max="7186" width="5.28515625" style="98" customWidth="1"/>
    <col min="7187" max="7188" width="6.85546875" style="98" customWidth="1"/>
    <col min="7189" max="7421" width="8.85546875" style="98"/>
    <col min="7422" max="7422" width="4.5703125" style="98" customWidth="1"/>
    <col min="7423" max="7423" width="21.140625" style="98" customWidth="1"/>
    <col min="7424" max="7425" width="4.85546875" style="98" customWidth="1"/>
    <col min="7426" max="7426" width="7.5703125" style="98" customWidth="1"/>
    <col min="7427" max="7427" width="6.28515625" style="98" customWidth="1"/>
    <col min="7428" max="7428" width="6.7109375" style="98" customWidth="1"/>
    <col min="7429" max="7430" width="5.28515625" style="98" customWidth="1"/>
    <col min="7431" max="7431" width="6" style="98" customWidth="1"/>
    <col min="7432" max="7432" width="4.85546875" style="98" customWidth="1"/>
    <col min="7433" max="7433" width="5" style="98" customWidth="1"/>
    <col min="7434" max="7435" width="7.42578125" style="98" customWidth="1"/>
    <col min="7436" max="7439" width="4.85546875" style="98" customWidth="1"/>
    <col min="7440" max="7440" width="6.140625" style="98" customWidth="1"/>
    <col min="7441" max="7441" width="6.7109375" style="98" customWidth="1"/>
    <col min="7442" max="7442" width="5.28515625" style="98" customWidth="1"/>
    <col min="7443" max="7444" width="6.85546875" style="98" customWidth="1"/>
    <col min="7445" max="7677" width="8.85546875" style="98"/>
    <col min="7678" max="7678" width="4.5703125" style="98" customWidth="1"/>
    <col min="7679" max="7679" width="21.140625" style="98" customWidth="1"/>
    <col min="7680" max="7681" width="4.85546875" style="98" customWidth="1"/>
    <col min="7682" max="7682" width="7.5703125" style="98" customWidth="1"/>
    <col min="7683" max="7683" width="6.28515625" style="98" customWidth="1"/>
    <col min="7684" max="7684" width="6.7109375" style="98" customWidth="1"/>
    <col min="7685" max="7686" width="5.28515625" style="98" customWidth="1"/>
    <col min="7687" max="7687" width="6" style="98" customWidth="1"/>
    <col min="7688" max="7688" width="4.85546875" style="98" customWidth="1"/>
    <col min="7689" max="7689" width="5" style="98" customWidth="1"/>
    <col min="7690" max="7691" width="7.42578125" style="98" customWidth="1"/>
    <col min="7692" max="7695" width="4.85546875" style="98" customWidth="1"/>
    <col min="7696" max="7696" width="6.140625" style="98" customWidth="1"/>
    <col min="7697" max="7697" width="6.7109375" style="98" customWidth="1"/>
    <col min="7698" max="7698" width="5.28515625" style="98" customWidth="1"/>
    <col min="7699" max="7700" width="6.85546875" style="98" customWidth="1"/>
    <col min="7701" max="7933" width="8.85546875" style="98"/>
    <col min="7934" max="7934" width="4.5703125" style="98" customWidth="1"/>
    <col min="7935" max="7935" width="21.140625" style="98" customWidth="1"/>
    <col min="7936" max="7937" width="4.85546875" style="98" customWidth="1"/>
    <col min="7938" max="7938" width="7.5703125" style="98" customWidth="1"/>
    <col min="7939" max="7939" width="6.28515625" style="98" customWidth="1"/>
    <col min="7940" max="7940" width="6.7109375" style="98" customWidth="1"/>
    <col min="7941" max="7942" width="5.28515625" style="98" customWidth="1"/>
    <col min="7943" max="7943" width="6" style="98" customWidth="1"/>
    <col min="7944" max="7944" width="4.85546875" style="98" customWidth="1"/>
    <col min="7945" max="7945" width="5" style="98" customWidth="1"/>
    <col min="7946" max="7947" width="7.42578125" style="98" customWidth="1"/>
    <col min="7948" max="7951" width="4.85546875" style="98" customWidth="1"/>
    <col min="7952" max="7952" width="6.140625" style="98" customWidth="1"/>
    <col min="7953" max="7953" width="6.7109375" style="98" customWidth="1"/>
    <col min="7954" max="7954" width="5.28515625" style="98" customWidth="1"/>
    <col min="7955" max="7956" width="6.85546875" style="98" customWidth="1"/>
    <col min="7957" max="8189" width="8.85546875" style="98"/>
    <col min="8190" max="8190" width="4.5703125" style="98" customWidth="1"/>
    <col min="8191" max="8191" width="21.140625" style="98" customWidth="1"/>
    <col min="8192" max="8193" width="4.85546875" style="98" customWidth="1"/>
    <col min="8194" max="8194" width="7.5703125" style="98" customWidth="1"/>
    <col min="8195" max="8195" width="6.28515625" style="98" customWidth="1"/>
    <col min="8196" max="8196" width="6.7109375" style="98" customWidth="1"/>
    <col min="8197" max="8198" width="5.28515625" style="98" customWidth="1"/>
    <col min="8199" max="8199" width="6" style="98" customWidth="1"/>
    <col min="8200" max="8200" width="4.85546875" style="98" customWidth="1"/>
    <col min="8201" max="8201" width="5" style="98" customWidth="1"/>
    <col min="8202" max="8203" width="7.42578125" style="98" customWidth="1"/>
    <col min="8204" max="8207" width="4.85546875" style="98" customWidth="1"/>
    <col min="8208" max="8208" width="6.140625" style="98" customWidth="1"/>
    <col min="8209" max="8209" width="6.7109375" style="98" customWidth="1"/>
    <col min="8210" max="8210" width="5.28515625" style="98" customWidth="1"/>
    <col min="8211" max="8212" width="6.85546875" style="98" customWidth="1"/>
    <col min="8213" max="8445" width="8.85546875" style="98"/>
    <col min="8446" max="8446" width="4.5703125" style="98" customWidth="1"/>
    <col min="8447" max="8447" width="21.140625" style="98" customWidth="1"/>
    <col min="8448" max="8449" width="4.85546875" style="98" customWidth="1"/>
    <col min="8450" max="8450" width="7.5703125" style="98" customWidth="1"/>
    <col min="8451" max="8451" width="6.28515625" style="98" customWidth="1"/>
    <col min="8452" max="8452" width="6.7109375" style="98" customWidth="1"/>
    <col min="8453" max="8454" width="5.28515625" style="98" customWidth="1"/>
    <col min="8455" max="8455" width="6" style="98" customWidth="1"/>
    <col min="8456" max="8456" width="4.85546875" style="98" customWidth="1"/>
    <col min="8457" max="8457" width="5" style="98" customWidth="1"/>
    <col min="8458" max="8459" width="7.42578125" style="98" customWidth="1"/>
    <col min="8460" max="8463" width="4.85546875" style="98" customWidth="1"/>
    <col min="8464" max="8464" width="6.140625" style="98" customWidth="1"/>
    <col min="8465" max="8465" width="6.7109375" style="98" customWidth="1"/>
    <col min="8466" max="8466" width="5.28515625" style="98" customWidth="1"/>
    <col min="8467" max="8468" width="6.85546875" style="98" customWidth="1"/>
    <col min="8469" max="8701" width="8.85546875" style="98"/>
    <col min="8702" max="8702" width="4.5703125" style="98" customWidth="1"/>
    <col min="8703" max="8703" width="21.140625" style="98" customWidth="1"/>
    <col min="8704" max="8705" width="4.85546875" style="98" customWidth="1"/>
    <col min="8706" max="8706" width="7.5703125" style="98" customWidth="1"/>
    <col min="8707" max="8707" width="6.28515625" style="98" customWidth="1"/>
    <col min="8708" max="8708" width="6.7109375" style="98" customWidth="1"/>
    <col min="8709" max="8710" width="5.28515625" style="98" customWidth="1"/>
    <col min="8711" max="8711" width="6" style="98" customWidth="1"/>
    <col min="8712" max="8712" width="4.85546875" style="98" customWidth="1"/>
    <col min="8713" max="8713" width="5" style="98" customWidth="1"/>
    <col min="8714" max="8715" width="7.42578125" style="98" customWidth="1"/>
    <col min="8716" max="8719" width="4.85546875" style="98" customWidth="1"/>
    <col min="8720" max="8720" width="6.140625" style="98" customWidth="1"/>
    <col min="8721" max="8721" width="6.7109375" style="98" customWidth="1"/>
    <col min="8722" max="8722" width="5.28515625" style="98" customWidth="1"/>
    <col min="8723" max="8724" width="6.85546875" style="98" customWidth="1"/>
    <col min="8725" max="8957" width="8.85546875" style="98"/>
    <col min="8958" max="8958" width="4.5703125" style="98" customWidth="1"/>
    <col min="8959" max="8959" width="21.140625" style="98" customWidth="1"/>
    <col min="8960" max="8961" width="4.85546875" style="98" customWidth="1"/>
    <col min="8962" max="8962" width="7.5703125" style="98" customWidth="1"/>
    <col min="8963" max="8963" width="6.28515625" style="98" customWidth="1"/>
    <col min="8964" max="8964" width="6.7109375" style="98" customWidth="1"/>
    <col min="8965" max="8966" width="5.28515625" style="98" customWidth="1"/>
    <col min="8967" max="8967" width="6" style="98" customWidth="1"/>
    <col min="8968" max="8968" width="4.85546875" style="98" customWidth="1"/>
    <col min="8969" max="8969" width="5" style="98" customWidth="1"/>
    <col min="8970" max="8971" width="7.42578125" style="98" customWidth="1"/>
    <col min="8972" max="8975" width="4.85546875" style="98" customWidth="1"/>
    <col min="8976" max="8976" width="6.140625" style="98" customWidth="1"/>
    <col min="8977" max="8977" width="6.7109375" style="98" customWidth="1"/>
    <col min="8978" max="8978" width="5.28515625" style="98" customWidth="1"/>
    <col min="8979" max="8980" width="6.85546875" style="98" customWidth="1"/>
    <col min="8981" max="9213" width="8.85546875" style="98"/>
    <col min="9214" max="9214" width="4.5703125" style="98" customWidth="1"/>
    <col min="9215" max="9215" width="21.140625" style="98" customWidth="1"/>
    <col min="9216" max="9217" width="4.85546875" style="98" customWidth="1"/>
    <col min="9218" max="9218" width="7.5703125" style="98" customWidth="1"/>
    <col min="9219" max="9219" width="6.28515625" style="98" customWidth="1"/>
    <col min="9220" max="9220" width="6.7109375" style="98" customWidth="1"/>
    <col min="9221" max="9222" width="5.28515625" style="98" customWidth="1"/>
    <col min="9223" max="9223" width="6" style="98" customWidth="1"/>
    <col min="9224" max="9224" width="4.85546875" style="98" customWidth="1"/>
    <col min="9225" max="9225" width="5" style="98" customWidth="1"/>
    <col min="9226" max="9227" width="7.42578125" style="98" customWidth="1"/>
    <col min="9228" max="9231" width="4.85546875" style="98" customWidth="1"/>
    <col min="9232" max="9232" width="6.140625" style="98" customWidth="1"/>
    <col min="9233" max="9233" width="6.7109375" style="98" customWidth="1"/>
    <col min="9234" max="9234" width="5.28515625" style="98" customWidth="1"/>
    <col min="9235" max="9236" width="6.85546875" style="98" customWidth="1"/>
    <col min="9237" max="9469" width="8.85546875" style="98"/>
    <col min="9470" max="9470" width="4.5703125" style="98" customWidth="1"/>
    <col min="9471" max="9471" width="21.140625" style="98" customWidth="1"/>
    <col min="9472" max="9473" width="4.85546875" style="98" customWidth="1"/>
    <col min="9474" max="9474" width="7.5703125" style="98" customWidth="1"/>
    <col min="9475" max="9475" width="6.28515625" style="98" customWidth="1"/>
    <col min="9476" max="9476" width="6.7109375" style="98" customWidth="1"/>
    <col min="9477" max="9478" width="5.28515625" style="98" customWidth="1"/>
    <col min="9479" max="9479" width="6" style="98" customWidth="1"/>
    <col min="9480" max="9480" width="4.85546875" style="98" customWidth="1"/>
    <col min="9481" max="9481" width="5" style="98" customWidth="1"/>
    <col min="9482" max="9483" width="7.42578125" style="98" customWidth="1"/>
    <col min="9484" max="9487" width="4.85546875" style="98" customWidth="1"/>
    <col min="9488" max="9488" width="6.140625" style="98" customWidth="1"/>
    <col min="9489" max="9489" width="6.7109375" style="98" customWidth="1"/>
    <col min="9490" max="9490" width="5.28515625" style="98" customWidth="1"/>
    <col min="9491" max="9492" width="6.85546875" style="98" customWidth="1"/>
    <col min="9493" max="9725" width="8.85546875" style="98"/>
    <col min="9726" max="9726" width="4.5703125" style="98" customWidth="1"/>
    <col min="9727" max="9727" width="21.140625" style="98" customWidth="1"/>
    <col min="9728" max="9729" width="4.85546875" style="98" customWidth="1"/>
    <col min="9730" max="9730" width="7.5703125" style="98" customWidth="1"/>
    <col min="9731" max="9731" width="6.28515625" style="98" customWidth="1"/>
    <col min="9732" max="9732" width="6.7109375" style="98" customWidth="1"/>
    <col min="9733" max="9734" width="5.28515625" style="98" customWidth="1"/>
    <col min="9735" max="9735" width="6" style="98" customWidth="1"/>
    <col min="9736" max="9736" width="4.85546875" style="98" customWidth="1"/>
    <col min="9737" max="9737" width="5" style="98" customWidth="1"/>
    <col min="9738" max="9739" width="7.42578125" style="98" customWidth="1"/>
    <col min="9740" max="9743" width="4.85546875" style="98" customWidth="1"/>
    <col min="9744" max="9744" width="6.140625" style="98" customWidth="1"/>
    <col min="9745" max="9745" width="6.7109375" style="98" customWidth="1"/>
    <col min="9746" max="9746" width="5.28515625" style="98" customWidth="1"/>
    <col min="9747" max="9748" width="6.85546875" style="98" customWidth="1"/>
    <col min="9749" max="9981" width="8.85546875" style="98"/>
    <col min="9982" max="9982" width="4.5703125" style="98" customWidth="1"/>
    <col min="9983" max="9983" width="21.140625" style="98" customWidth="1"/>
    <col min="9984" max="9985" width="4.85546875" style="98" customWidth="1"/>
    <col min="9986" max="9986" width="7.5703125" style="98" customWidth="1"/>
    <col min="9987" max="9987" width="6.28515625" style="98" customWidth="1"/>
    <col min="9988" max="9988" width="6.7109375" style="98" customWidth="1"/>
    <col min="9989" max="9990" width="5.28515625" style="98" customWidth="1"/>
    <col min="9991" max="9991" width="6" style="98" customWidth="1"/>
    <col min="9992" max="9992" width="4.85546875" style="98" customWidth="1"/>
    <col min="9993" max="9993" width="5" style="98" customWidth="1"/>
    <col min="9994" max="9995" width="7.42578125" style="98" customWidth="1"/>
    <col min="9996" max="9999" width="4.85546875" style="98" customWidth="1"/>
    <col min="10000" max="10000" width="6.140625" style="98" customWidth="1"/>
    <col min="10001" max="10001" width="6.7109375" style="98" customWidth="1"/>
    <col min="10002" max="10002" width="5.28515625" style="98" customWidth="1"/>
    <col min="10003" max="10004" width="6.85546875" style="98" customWidth="1"/>
    <col min="10005" max="10237" width="8.85546875" style="98"/>
    <col min="10238" max="10238" width="4.5703125" style="98" customWidth="1"/>
    <col min="10239" max="10239" width="21.140625" style="98" customWidth="1"/>
    <col min="10240" max="10241" width="4.85546875" style="98" customWidth="1"/>
    <col min="10242" max="10242" width="7.5703125" style="98" customWidth="1"/>
    <col min="10243" max="10243" width="6.28515625" style="98" customWidth="1"/>
    <col min="10244" max="10244" width="6.7109375" style="98" customWidth="1"/>
    <col min="10245" max="10246" width="5.28515625" style="98" customWidth="1"/>
    <col min="10247" max="10247" width="6" style="98" customWidth="1"/>
    <col min="10248" max="10248" width="4.85546875" style="98" customWidth="1"/>
    <col min="10249" max="10249" width="5" style="98" customWidth="1"/>
    <col min="10250" max="10251" width="7.42578125" style="98" customWidth="1"/>
    <col min="10252" max="10255" width="4.85546875" style="98" customWidth="1"/>
    <col min="10256" max="10256" width="6.140625" style="98" customWidth="1"/>
    <col min="10257" max="10257" width="6.7109375" style="98" customWidth="1"/>
    <col min="10258" max="10258" width="5.28515625" style="98" customWidth="1"/>
    <col min="10259" max="10260" width="6.85546875" style="98" customWidth="1"/>
    <col min="10261" max="10493" width="8.85546875" style="98"/>
    <col min="10494" max="10494" width="4.5703125" style="98" customWidth="1"/>
    <col min="10495" max="10495" width="21.140625" style="98" customWidth="1"/>
    <col min="10496" max="10497" width="4.85546875" style="98" customWidth="1"/>
    <col min="10498" max="10498" width="7.5703125" style="98" customWidth="1"/>
    <col min="10499" max="10499" width="6.28515625" style="98" customWidth="1"/>
    <col min="10500" max="10500" width="6.7109375" style="98" customWidth="1"/>
    <col min="10501" max="10502" width="5.28515625" style="98" customWidth="1"/>
    <col min="10503" max="10503" width="6" style="98" customWidth="1"/>
    <col min="10504" max="10504" width="4.85546875" style="98" customWidth="1"/>
    <col min="10505" max="10505" width="5" style="98" customWidth="1"/>
    <col min="10506" max="10507" width="7.42578125" style="98" customWidth="1"/>
    <col min="10508" max="10511" width="4.85546875" style="98" customWidth="1"/>
    <col min="10512" max="10512" width="6.140625" style="98" customWidth="1"/>
    <col min="10513" max="10513" width="6.7109375" style="98" customWidth="1"/>
    <col min="10514" max="10514" width="5.28515625" style="98" customWidth="1"/>
    <col min="10515" max="10516" width="6.85546875" style="98" customWidth="1"/>
    <col min="10517" max="10749" width="8.85546875" style="98"/>
    <col min="10750" max="10750" width="4.5703125" style="98" customWidth="1"/>
    <col min="10751" max="10751" width="21.140625" style="98" customWidth="1"/>
    <col min="10752" max="10753" width="4.85546875" style="98" customWidth="1"/>
    <col min="10754" max="10754" width="7.5703125" style="98" customWidth="1"/>
    <col min="10755" max="10755" width="6.28515625" style="98" customWidth="1"/>
    <col min="10756" max="10756" width="6.7109375" style="98" customWidth="1"/>
    <col min="10757" max="10758" width="5.28515625" style="98" customWidth="1"/>
    <col min="10759" max="10759" width="6" style="98" customWidth="1"/>
    <col min="10760" max="10760" width="4.85546875" style="98" customWidth="1"/>
    <col min="10761" max="10761" width="5" style="98" customWidth="1"/>
    <col min="10762" max="10763" width="7.42578125" style="98" customWidth="1"/>
    <col min="10764" max="10767" width="4.85546875" style="98" customWidth="1"/>
    <col min="10768" max="10768" width="6.140625" style="98" customWidth="1"/>
    <col min="10769" max="10769" width="6.7109375" style="98" customWidth="1"/>
    <col min="10770" max="10770" width="5.28515625" style="98" customWidth="1"/>
    <col min="10771" max="10772" width="6.85546875" style="98" customWidth="1"/>
    <col min="10773" max="11005" width="8.85546875" style="98"/>
    <col min="11006" max="11006" width="4.5703125" style="98" customWidth="1"/>
    <col min="11007" max="11007" width="21.140625" style="98" customWidth="1"/>
    <col min="11008" max="11009" width="4.85546875" style="98" customWidth="1"/>
    <col min="11010" max="11010" width="7.5703125" style="98" customWidth="1"/>
    <col min="11011" max="11011" width="6.28515625" style="98" customWidth="1"/>
    <col min="11012" max="11012" width="6.7109375" style="98" customWidth="1"/>
    <col min="11013" max="11014" width="5.28515625" style="98" customWidth="1"/>
    <col min="11015" max="11015" width="6" style="98" customWidth="1"/>
    <col min="11016" max="11016" width="4.85546875" style="98" customWidth="1"/>
    <col min="11017" max="11017" width="5" style="98" customWidth="1"/>
    <col min="11018" max="11019" width="7.42578125" style="98" customWidth="1"/>
    <col min="11020" max="11023" width="4.85546875" style="98" customWidth="1"/>
    <col min="11024" max="11024" width="6.140625" style="98" customWidth="1"/>
    <col min="11025" max="11025" width="6.7109375" style="98" customWidth="1"/>
    <col min="11026" max="11026" width="5.28515625" style="98" customWidth="1"/>
    <col min="11027" max="11028" width="6.85546875" style="98" customWidth="1"/>
    <col min="11029" max="11261" width="8.85546875" style="98"/>
    <col min="11262" max="11262" width="4.5703125" style="98" customWidth="1"/>
    <col min="11263" max="11263" width="21.140625" style="98" customWidth="1"/>
    <col min="11264" max="11265" width="4.85546875" style="98" customWidth="1"/>
    <col min="11266" max="11266" width="7.5703125" style="98" customWidth="1"/>
    <col min="11267" max="11267" width="6.28515625" style="98" customWidth="1"/>
    <col min="11268" max="11268" width="6.7109375" style="98" customWidth="1"/>
    <col min="11269" max="11270" width="5.28515625" style="98" customWidth="1"/>
    <col min="11271" max="11271" width="6" style="98" customWidth="1"/>
    <col min="11272" max="11272" width="4.85546875" style="98" customWidth="1"/>
    <col min="11273" max="11273" width="5" style="98" customWidth="1"/>
    <col min="11274" max="11275" width="7.42578125" style="98" customWidth="1"/>
    <col min="11276" max="11279" width="4.85546875" style="98" customWidth="1"/>
    <col min="11280" max="11280" width="6.140625" style="98" customWidth="1"/>
    <col min="11281" max="11281" width="6.7109375" style="98" customWidth="1"/>
    <col min="11282" max="11282" width="5.28515625" style="98" customWidth="1"/>
    <col min="11283" max="11284" width="6.85546875" style="98" customWidth="1"/>
    <col min="11285" max="11517" width="8.85546875" style="98"/>
    <col min="11518" max="11518" width="4.5703125" style="98" customWidth="1"/>
    <col min="11519" max="11519" width="21.140625" style="98" customWidth="1"/>
    <col min="11520" max="11521" width="4.85546875" style="98" customWidth="1"/>
    <col min="11522" max="11522" width="7.5703125" style="98" customWidth="1"/>
    <col min="11523" max="11523" width="6.28515625" style="98" customWidth="1"/>
    <col min="11524" max="11524" width="6.7109375" style="98" customWidth="1"/>
    <col min="11525" max="11526" width="5.28515625" style="98" customWidth="1"/>
    <col min="11527" max="11527" width="6" style="98" customWidth="1"/>
    <col min="11528" max="11528" width="4.85546875" style="98" customWidth="1"/>
    <col min="11529" max="11529" width="5" style="98" customWidth="1"/>
    <col min="11530" max="11531" width="7.42578125" style="98" customWidth="1"/>
    <col min="11532" max="11535" width="4.85546875" style="98" customWidth="1"/>
    <col min="11536" max="11536" width="6.140625" style="98" customWidth="1"/>
    <col min="11537" max="11537" width="6.7109375" style="98" customWidth="1"/>
    <col min="11538" max="11538" width="5.28515625" style="98" customWidth="1"/>
    <col min="11539" max="11540" width="6.85546875" style="98" customWidth="1"/>
    <col min="11541" max="11773" width="8.85546875" style="98"/>
    <col min="11774" max="11774" width="4.5703125" style="98" customWidth="1"/>
    <col min="11775" max="11775" width="21.140625" style="98" customWidth="1"/>
    <col min="11776" max="11777" width="4.85546875" style="98" customWidth="1"/>
    <col min="11778" max="11778" width="7.5703125" style="98" customWidth="1"/>
    <col min="11779" max="11779" width="6.28515625" style="98" customWidth="1"/>
    <col min="11780" max="11780" width="6.7109375" style="98" customWidth="1"/>
    <col min="11781" max="11782" width="5.28515625" style="98" customWidth="1"/>
    <col min="11783" max="11783" width="6" style="98" customWidth="1"/>
    <col min="11784" max="11784" width="4.85546875" style="98" customWidth="1"/>
    <col min="11785" max="11785" width="5" style="98" customWidth="1"/>
    <col min="11786" max="11787" width="7.42578125" style="98" customWidth="1"/>
    <col min="11788" max="11791" width="4.85546875" style="98" customWidth="1"/>
    <col min="11792" max="11792" width="6.140625" style="98" customWidth="1"/>
    <col min="11793" max="11793" width="6.7109375" style="98" customWidth="1"/>
    <col min="11794" max="11794" width="5.28515625" style="98" customWidth="1"/>
    <col min="11795" max="11796" width="6.85546875" style="98" customWidth="1"/>
    <col min="11797" max="12029" width="8.85546875" style="98"/>
    <col min="12030" max="12030" width="4.5703125" style="98" customWidth="1"/>
    <col min="12031" max="12031" width="21.140625" style="98" customWidth="1"/>
    <col min="12032" max="12033" width="4.85546875" style="98" customWidth="1"/>
    <col min="12034" max="12034" width="7.5703125" style="98" customWidth="1"/>
    <col min="12035" max="12035" width="6.28515625" style="98" customWidth="1"/>
    <col min="12036" max="12036" width="6.7109375" style="98" customWidth="1"/>
    <col min="12037" max="12038" width="5.28515625" style="98" customWidth="1"/>
    <col min="12039" max="12039" width="6" style="98" customWidth="1"/>
    <col min="12040" max="12040" width="4.85546875" style="98" customWidth="1"/>
    <col min="12041" max="12041" width="5" style="98" customWidth="1"/>
    <col min="12042" max="12043" width="7.42578125" style="98" customWidth="1"/>
    <col min="12044" max="12047" width="4.85546875" style="98" customWidth="1"/>
    <col min="12048" max="12048" width="6.140625" style="98" customWidth="1"/>
    <col min="12049" max="12049" width="6.7109375" style="98" customWidth="1"/>
    <col min="12050" max="12050" width="5.28515625" style="98" customWidth="1"/>
    <col min="12051" max="12052" width="6.85546875" style="98" customWidth="1"/>
    <col min="12053" max="12285" width="8.85546875" style="98"/>
    <col min="12286" max="12286" width="4.5703125" style="98" customWidth="1"/>
    <col min="12287" max="12287" width="21.140625" style="98" customWidth="1"/>
    <col min="12288" max="12289" width="4.85546875" style="98" customWidth="1"/>
    <col min="12290" max="12290" width="7.5703125" style="98" customWidth="1"/>
    <col min="12291" max="12291" width="6.28515625" style="98" customWidth="1"/>
    <col min="12292" max="12292" width="6.7109375" style="98" customWidth="1"/>
    <col min="12293" max="12294" width="5.28515625" style="98" customWidth="1"/>
    <col min="12295" max="12295" width="6" style="98" customWidth="1"/>
    <col min="12296" max="12296" width="4.85546875" style="98" customWidth="1"/>
    <col min="12297" max="12297" width="5" style="98" customWidth="1"/>
    <col min="12298" max="12299" width="7.42578125" style="98" customWidth="1"/>
    <col min="12300" max="12303" width="4.85546875" style="98" customWidth="1"/>
    <col min="12304" max="12304" width="6.140625" style="98" customWidth="1"/>
    <col min="12305" max="12305" width="6.7109375" style="98" customWidth="1"/>
    <col min="12306" max="12306" width="5.28515625" style="98" customWidth="1"/>
    <col min="12307" max="12308" width="6.85546875" style="98" customWidth="1"/>
    <col min="12309" max="12541" width="8.85546875" style="98"/>
    <col min="12542" max="12542" width="4.5703125" style="98" customWidth="1"/>
    <col min="12543" max="12543" width="21.140625" style="98" customWidth="1"/>
    <col min="12544" max="12545" width="4.85546875" style="98" customWidth="1"/>
    <col min="12546" max="12546" width="7.5703125" style="98" customWidth="1"/>
    <col min="12547" max="12547" width="6.28515625" style="98" customWidth="1"/>
    <col min="12548" max="12548" width="6.7109375" style="98" customWidth="1"/>
    <col min="12549" max="12550" width="5.28515625" style="98" customWidth="1"/>
    <col min="12551" max="12551" width="6" style="98" customWidth="1"/>
    <col min="12552" max="12552" width="4.85546875" style="98" customWidth="1"/>
    <col min="12553" max="12553" width="5" style="98" customWidth="1"/>
    <col min="12554" max="12555" width="7.42578125" style="98" customWidth="1"/>
    <col min="12556" max="12559" width="4.85546875" style="98" customWidth="1"/>
    <col min="12560" max="12560" width="6.140625" style="98" customWidth="1"/>
    <col min="12561" max="12561" width="6.7109375" style="98" customWidth="1"/>
    <col min="12562" max="12562" width="5.28515625" style="98" customWidth="1"/>
    <col min="12563" max="12564" width="6.85546875" style="98" customWidth="1"/>
    <col min="12565" max="12797" width="8.85546875" style="98"/>
    <col min="12798" max="12798" width="4.5703125" style="98" customWidth="1"/>
    <col min="12799" max="12799" width="21.140625" style="98" customWidth="1"/>
    <col min="12800" max="12801" width="4.85546875" style="98" customWidth="1"/>
    <col min="12802" max="12802" width="7.5703125" style="98" customWidth="1"/>
    <col min="12803" max="12803" width="6.28515625" style="98" customWidth="1"/>
    <col min="12804" max="12804" width="6.7109375" style="98" customWidth="1"/>
    <col min="12805" max="12806" width="5.28515625" style="98" customWidth="1"/>
    <col min="12807" max="12807" width="6" style="98" customWidth="1"/>
    <col min="12808" max="12808" width="4.85546875" style="98" customWidth="1"/>
    <col min="12809" max="12809" width="5" style="98" customWidth="1"/>
    <col min="12810" max="12811" width="7.42578125" style="98" customWidth="1"/>
    <col min="12812" max="12815" width="4.85546875" style="98" customWidth="1"/>
    <col min="12816" max="12816" width="6.140625" style="98" customWidth="1"/>
    <col min="12817" max="12817" width="6.7109375" style="98" customWidth="1"/>
    <col min="12818" max="12818" width="5.28515625" style="98" customWidth="1"/>
    <col min="12819" max="12820" width="6.85546875" style="98" customWidth="1"/>
    <col min="12821" max="13053" width="8.85546875" style="98"/>
    <col min="13054" max="13054" width="4.5703125" style="98" customWidth="1"/>
    <col min="13055" max="13055" width="21.140625" style="98" customWidth="1"/>
    <col min="13056" max="13057" width="4.85546875" style="98" customWidth="1"/>
    <col min="13058" max="13058" width="7.5703125" style="98" customWidth="1"/>
    <col min="13059" max="13059" width="6.28515625" style="98" customWidth="1"/>
    <col min="13060" max="13060" width="6.7109375" style="98" customWidth="1"/>
    <col min="13061" max="13062" width="5.28515625" style="98" customWidth="1"/>
    <col min="13063" max="13063" width="6" style="98" customWidth="1"/>
    <col min="13064" max="13064" width="4.85546875" style="98" customWidth="1"/>
    <col min="13065" max="13065" width="5" style="98" customWidth="1"/>
    <col min="13066" max="13067" width="7.42578125" style="98" customWidth="1"/>
    <col min="13068" max="13071" width="4.85546875" style="98" customWidth="1"/>
    <col min="13072" max="13072" width="6.140625" style="98" customWidth="1"/>
    <col min="13073" max="13073" width="6.7109375" style="98" customWidth="1"/>
    <col min="13074" max="13074" width="5.28515625" style="98" customWidth="1"/>
    <col min="13075" max="13076" width="6.85546875" style="98" customWidth="1"/>
    <col min="13077" max="13309" width="8.85546875" style="98"/>
    <col min="13310" max="13310" width="4.5703125" style="98" customWidth="1"/>
    <col min="13311" max="13311" width="21.140625" style="98" customWidth="1"/>
    <col min="13312" max="13313" width="4.85546875" style="98" customWidth="1"/>
    <col min="13314" max="13314" width="7.5703125" style="98" customWidth="1"/>
    <col min="13315" max="13315" width="6.28515625" style="98" customWidth="1"/>
    <col min="13316" max="13316" width="6.7109375" style="98" customWidth="1"/>
    <col min="13317" max="13318" width="5.28515625" style="98" customWidth="1"/>
    <col min="13319" max="13319" width="6" style="98" customWidth="1"/>
    <col min="13320" max="13320" width="4.85546875" style="98" customWidth="1"/>
    <col min="13321" max="13321" width="5" style="98" customWidth="1"/>
    <col min="13322" max="13323" width="7.42578125" style="98" customWidth="1"/>
    <col min="13324" max="13327" width="4.85546875" style="98" customWidth="1"/>
    <col min="13328" max="13328" width="6.140625" style="98" customWidth="1"/>
    <col min="13329" max="13329" width="6.7109375" style="98" customWidth="1"/>
    <col min="13330" max="13330" width="5.28515625" style="98" customWidth="1"/>
    <col min="13331" max="13332" width="6.85546875" style="98" customWidth="1"/>
    <col min="13333" max="13565" width="8.85546875" style="98"/>
    <col min="13566" max="13566" width="4.5703125" style="98" customWidth="1"/>
    <col min="13567" max="13567" width="21.140625" style="98" customWidth="1"/>
    <col min="13568" max="13569" width="4.85546875" style="98" customWidth="1"/>
    <col min="13570" max="13570" width="7.5703125" style="98" customWidth="1"/>
    <col min="13571" max="13571" width="6.28515625" style="98" customWidth="1"/>
    <col min="13572" max="13572" width="6.7109375" style="98" customWidth="1"/>
    <col min="13573" max="13574" width="5.28515625" style="98" customWidth="1"/>
    <col min="13575" max="13575" width="6" style="98" customWidth="1"/>
    <col min="13576" max="13576" width="4.85546875" style="98" customWidth="1"/>
    <col min="13577" max="13577" width="5" style="98" customWidth="1"/>
    <col min="13578" max="13579" width="7.42578125" style="98" customWidth="1"/>
    <col min="13580" max="13583" width="4.85546875" style="98" customWidth="1"/>
    <col min="13584" max="13584" width="6.140625" style="98" customWidth="1"/>
    <col min="13585" max="13585" width="6.7109375" style="98" customWidth="1"/>
    <col min="13586" max="13586" width="5.28515625" style="98" customWidth="1"/>
    <col min="13587" max="13588" width="6.85546875" style="98" customWidth="1"/>
    <col min="13589" max="13821" width="8.85546875" style="98"/>
    <col min="13822" max="13822" width="4.5703125" style="98" customWidth="1"/>
    <col min="13823" max="13823" width="21.140625" style="98" customWidth="1"/>
    <col min="13824" max="13825" width="4.85546875" style="98" customWidth="1"/>
    <col min="13826" max="13826" width="7.5703125" style="98" customWidth="1"/>
    <col min="13827" max="13827" width="6.28515625" style="98" customWidth="1"/>
    <col min="13828" max="13828" width="6.7109375" style="98" customWidth="1"/>
    <col min="13829" max="13830" width="5.28515625" style="98" customWidth="1"/>
    <col min="13831" max="13831" width="6" style="98" customWidth="1"/>
    <col min="13832" max="13832" width="4.85546875" style="98" customWidth="1"/>
    <col min="13833" max="13833" width="5" style="98" customWidth="1"/>
    <col min="13834" max="13835" width="7.42578125" style="98" customWidth="1"/>
    <col min="13836" max="13839" width="4.85546875" style="98" customWidth="1"/>
    <col min="13840" max="13840" width="6.140625" style="98" customWidth="1"/>
    <col min="13841" max="13841" width="6.7109375" style="98" customWidth="1"/>
    <col min="13842" max="13842" width="5.28515625" style="98" customWidth="1"/>
    <col min="13843" max="13844" width="6.85546875" style="98" customWidth="1"/>
    <col min="13845" max="14077" width="8.85546875" style="98"/>
    <col min="14078" max="14078" width="4.5703125" style="98" customWidth="1"/>
    <col min="14079" max="14079" width="21.140625" style="98" customWidth="1"/>
    <col min="14080" max="14081" width="4.85546875" style="98" customWidth="1"/>
    <col min="14082" max="14082" width="7.5703125" style="98" customWidth="1"/>
    <col min="14083" max="14083" width="6.28515625" style="98" customWidth="1"/>
    <col min="14084" max="14084" width="6.7109375" style="98" customWidth="1"/>
    <col min="14085" max="14086" width="5.28515625" style="98" customWidth="1"/>
    <col min="14087" max="14087" width="6" style="98" customWidth="1"/>
    <col min="14088" max="14088" width="4.85546875" style="98" customWidth="1"/>
    <col min="14089" max="14089" width="5" style="98" customWidth="1"/>
    <col min="14090" max="14091" width="7.42578125" style="98" customWidth="1"/>
    <col min="14092" max="14095" width="4.85546875" style="98" customWidth="1"/>
    <col min="14096" max="14096" width="6.140625" style="98" customWidth="1"/>
    <col min="14097" max="14097" width="6.7109375" style="98" customWidth="1"/>
    <col min="14098" max="14098" width="5.28515625" style="98" customWidth="1"/>
    <col min="14099" max="14100" width="6.85546875" style="98" customWidth="1"/>
    <col min="14101" max="14333" width="8.85546875" style="98"/>
    <col min="14334" max="14334" width="4.5703125" style="98" customWidth="1"/>
    <col min="14335" max="14335" width="21.140625" style="98" customWidth="1"/>
    <col min="14336" max="14337" width="4.85546875" style="98" customWidth="1"/>
    <col min="14338" max="14338" width="7.5703125" style="98" customWidth="1"/>
    <col min="14339" max="14339" width="6.28515625" style="98" customWidth="1"/>
    <col min="14340" max="14340" width="6.7109375" style="98" customWidth="1"/>
    <col min="14341" max="14342" width="5.28515625" style="98" customWidth="1"/>
    <col min="14343" max="14343" width="6" style="98" customWidth="1"/>
    <col min="14344" max="14344" width="4.85546875" style="98" customWidth="1"/>
    <col min="14345" max="14345" width="5" style="98" customWidth="1"/>
    <col min="14346" max="14347" width="7.42578125" style="98" customWidth="1"/>
    <col min="14348" max="14351" width="4.85546875" style="98" customWidth="1"/>
    <col min="14352" max="14352" width="6.140625" style="98" customWidth="1"/>
    <col min="14353" max="14353" width="6.7109375" style="98" customWidth="1"/>
    <col min="14354" max="14354" width="5.28515625" style="98" customWidth="1"/>
    <col min="14355" max="14356" width="6.85546875" style="98" customWidth="1"/>
    <col min="14357" max="14589" width="8.85546875" style="98"/>
    <col min="14590" max="14590" width="4.5703125" style="98" customWidth="1"/>
    <col min="14591" max="14591" width="21.140625" style="98" customWidth="1"/>
    <col min="14592" max="14593" width="4.85546875" style="98" customWidth="1"/>
    <col min="14594" max="14594" width="7.5703125" style="98" customWidth="1"/>
    <col min="14595" max="14595" width="6.28515625" style="98" customWidth="1"/>
    <col min="14596" max="14596" width="6.7109375" style="98" customWidth="1"/>
    <col min="14597" max="14598" width="5.28515625" style="98" customWidth="1"/>
    <col min="14599" max="14599" width="6" style="98" customWidth="1"/>
    <col min="14600" max="14600" width="4.85546875" style="98" customWidth="1"/>
    <col min="14601" max="14601" width="5" style="98" customWidth="1"/>
    <col min="14602" max="14603" width="7.42578125" style="98" customWidth="1"/>
    <col min="14604" max="14607" width="4.85546875" style="98" customWidth="1"/>
    <col min="14608" max="14608" width="6.140625" style="98" customWidth="1"/>
    <col min="14609" max="14609" width="6.7109375" style="98" customWidth="1"/>
    <col min="14610" max="14610" width="5.28515625" style="98" customWidth="1"/>
    <col min="14611" max="14612" width="6.85546875" style="98" customWidth="1"/>
    <col min="14613" max="14845" width="8.85546875" style="98"/>
    <col min="14846" max="14846" width="4.5703125" style="98" customWidth="1"/>
    <col min="14847" max="14847" width="21.140625" style="98" customWidth="1"/>
    <col min="14848" max="14849" width="4.85546875" style="98" customWidth="1"/>
    <col min="14850" max="14850" width="7.5703125" style="98" customWidth="1"/>
    <col min="14851" max="14851" width="6.28515625" style="98" customWidth="1"/>
    <col min="14852" max="14852" width="6.7109375" style="98" customWidth="1"/>
    <col min="14853" max="14854" width="5.28515625" style="98" customWidth="1"/>
    <col min="14855" max="14855" width="6" style="98" customWidth="1"/>
    <col min="14856" max="14856" width="4.85546875" style="98" customWidth="1"/>
    <col min="14857" max="14857" width="5" style="98" customWidth="1"/>
    <col min="14858" max="14859" width="7.42578125" style="98" customWidth="1"/>
    <col min="14860" max="14863" width="4.85546875" style="98" customWidth="1"/>
    <col min="14864" max="14864" width="6.140625" style="98" customWidth="1"/>
    <col min="14865" max="14865" width="6.7109375" style="98" customWidth="1"/>
    <col min="14866" max="14866" width="5.28515625" style="98" customWidth="1"/>
    <col min="14867" max="14868" width="6.85546875" style="98" customWidth="1"/>
    <col min="14869" max="15101" width="8.85546875" style="98"/>
    <col min="15102" max="15102" width="4.5703125" style="98" customWidth="1"/>
    <col min="15103" max="15103" width="21.140625" style="98" customWidth="1"/>
    <col min="15104" max="15105" width="4.85546875" style="98" customWidth="1"/>
    <col min="15106" max="15106" width="7.5703125" style="98" customWidth="1"/>
    <col min="15107" max="15107" width="6.28515625" style="98" customWidth="1"/>
    <col min="15108" max="15108" width="6.7109375" style="98" customWidth="1"/>
    <col min="15109" max="15110" width="5.28515625" style="98" customWidth="1"/>
    <col min="15111" max="15111" width="6" style="98" customWidth="1"/>
    <col min="15112" max="15112" width="4.85546875" style="98" customWidth="1"/>
    <col min="15113" max="15113" width="5" style="98" customWidth="1"/>
    <col min="15114" max="15115" width="7.42578125" style="98" customWidth="1"/>
    <col min="15116" max="15119" width="4.85546875" style="98" customWidth="1"/>
    <col min="15120" max="15120" width="6.140625" style="98" customWidth="1"/>
    <col min="15121" max="15121" width="6.7109375" style="98" customWidth="1"/>
    <col min="15122" max="15122" width="5.28515625" style="98" customWidth="1"/>
    <col min="15123" max="15124" width="6.85546875" style="98" customWidth="1"/>
    <col min="15125" max="15357" width="8.85546875" style="98"/>
    <col min="15358" max="15358" width="4.5703125" style="98" customWidth="1"/>
    <col min="15359" max="15359" width="21.140625" style="98" customWidth="1"/>
    <col min="15360" max="15361" width="4.85546875" style="98" customWidth="1"/>
    <col min="15362" max="15362" width="7.5703125" style="98" customWidth="1"/>
    <col min="15363" max="15363" width="6.28515625" style="98" customWidth="1"/>
    <col min="15364" max="15364" width="6.7109375" style="98" customWidth="1"/>
    <col min="15365" max="15366" width="5.28515625" style="98" customWidth="1"/>
    <col min="15367" max="15367" width="6" style="98" customWidth="1"/>
    <col min="15368" max="15368" width="4.85546875" style="98" customWidth="1"/>
    <col min="15369" max="15369" width="5" style="98" customWidth="1"/>
    <col min="15370" max="15371" width="7.42578125" style="98" customWidth="1"/>
    <col min="15372" max="15375" width="4.85546875" style="98" customWidth="1"/>
    <col min="15376" max="15376" width="6.140625" style="98" customWidth="1"/>
    <col min="15377" max="15377" width="6.7109375" style="98" customWidth="1"/>
    <col min="15378" max="15378" width="5.28515625" style="98" customWidth="1"/>
    <col min="15379" max="15380" width="6.85546875" style="98" customWidth="1"/>
    <col min="15381" max="15613" width="8.85546875" style="98"/>
    <col min="15614" max="15614" width="4.5703125" style="98" customWidth="1"/>
    <col min="15615" max="15615" width="21.140625" style="98" customWidth="1"/>
    <col min="15616" max="15617" width="4.85546875" style="98" customWidth="1"/>
    <col min="15618" max="15618" width="7.5703125" style="98" customWidth="1"/>
    <col min="15619" max="15619" width="6.28515625" style="98" customWidth="1"/>
    <col min="15620" max="15620" width="6.7109375" style="98" customWidth="1"/>
    <col min="15621" max="15622" width="5.28515625" style="98" customWidth="1"/>
    <col min="15623" max="15623" width="6" style="98" customWidth="1"/>
    <col min="15624" max="15624" width="4.85546875" style="98" customWidth="1"/>
    <col min="15625" max="15625" width="5" style="98" customWidth="1"/>
    <col min="15626" max="15627" width="7.42578125" style="98" customWidth="1"/>
    <col min="15628" max="15631" width="4.85546875" style="98" customWidth="1"/>
    <col min="15632" max="15632" width="6.140625" style="98" customWidth="1"/>
    <col min="15633" max="15633" width="6.7109375" style="98" customWidth="1"/>
    <col min="15634" max="15634" width="5.28515625" style="98" customWidth="1"/>
    <col min="15635" max="15636" width="6.85546875" style="98" customWidth="1"/>
    <col min="15637" max="15869" width="8.85546875" style="98"/>
    <col min="15870" max="15870" width="4.5703125" style="98" customWidth="1"/>
    <col min="15871" max="15871" width="21.140625" style="98" customWidth="1"/>
    <col min="15872" max="15873" width="4.85546875" style="98" customWidth="1"/>
    <col min="15874" max="15874" width="7.5703125" style="98" customWidth="1"/>
    <col min="15875" max="15875" width="6.28515625" style="98" customWidth="1"/>
    <col min="15876" max="15876" width="6.7109375" style="98" customWidth="1"/>
    <col min="15877" max="15878" width="5.28515625" style="98" customWidth="1"/>
    <col min="15879" max="15879" width="6" style="98" customWidth="1"/>
    <col min="15880" max="15880" width="4.85546875" style="98" customWidth="1"/>
    <col min="15881" max="15881" width="5" style="98" customWidth="1"/>
    <col min="15882" max="15883" width="7.42578125" style="98" customWidth="1"/>
    <col min="15884" max="15887" width="4.85546875" style="98" customWidth="1"/>
    <col min="15888" max="15888" width="6.140625" style="98" customWidth="1"/>
    <col min="15889" max="15889" width="6.7109375" style="98" customWidth="1"/>
    <col min="15890" max="15890" width="5.28515625" style="98" customWidth="1"/>
    <col min="15891" max="15892" width="6.85546875" style="98" customWidth="1"/>
    <col min="15893" max="16125" width="8.85546875" style="98"/>
    <col min="16126" max="16126" width="4.5703125" style="98" customWidth="1"/>
    <col min="16127" max="16127" width="21.140625" style="98" customWidth="1"/>
    <col min="16128" max="16129" width="4.85546875" style="98" customWidth="1"/>
    <col min="16130" max="16130" width="7.5703125" style="98" customWidth="1"/>
    <col min="16131" max="16131" width="6.28515625" style="98" customWidth="1"/>
    <col min="16132" max="16132" width="6.7109375" style="98" customWidth="1"/>
    <col min="16133" max="16134" width="5.28515625" style="98" customWidth="1"/>
    <col min="16135" max="16135" width="6" style="98" customWidth="1"/>
    <col min="16136" max="16136" width="4.85546875" style="98" customWidth="1"/>
    <col min="16137" max="16137" width="5" style="98" customWidth="1"/>
    <col min="16138" max="16139" width="7.42578125" style="98" customWidth="1"/>
    <col min="16140" max="16143" width="4.85546875" style="98" customWidth="1"/>
    <col min="16144" max="16144" width="6.140625" style="98" customWidth="1"/>
    <col min="16145" max="16145" width="6.7109375" style="98" customWidth="1"/>
    <col min="16146" max="16146" width="5.28515625" style="98" customWidth="1"/>
    <col min="16147" max="16148" width="6.85546875" style="98" customWidth="1"/>
    <col min="16149" max="16384" width="8.85546875" style="98"/>
  </cols>
  <sheetData>
    <row r="1" spans="1:35" ht="14.45" customHeight="1" x14ac:dyDescent="0.25">
      <c r="A1" s="311" t="s">
        <v>263</v>
      </c>
      <c r="B1" s="311"/>
      <c r="C1" s="311"/>
      <c r="D1" s="311"/>
      <c r="E1" s="311"/>
    </row>
    <row r="2" spans="1:35" ht="19.899999999999999" customHeight="1" x14ac:dyDescent="0.25">
      <c r="A2" s="313" t="s">
        <v>187</v>
      </c>
      <c r="B2" s="313"/>
      <c r="C2" s="313"/>
      <c r="D2" s="313"/>
      <c r="E2" s="313"/>
      <c r="F2" s="313"/>
      <c r="G2" s="313"/>
      <c r="H2" s="313"/>
      <c r="I2" s="313"/>
      <c r="J2" s="313"/>
      <c r="K2" s="313"/>
      <c r="L2" s="313"/>
      <c r="M2" s="313"/>
      <c r="N2" s="313"/>
      <c r="O2" s="313"/>
      <c r="P2" s="313"/>
      <c r="Q2" s="313"/>
      <c r="R2" s="313"/>
      <c r="S2" s="313"/>
      <c r="T2" s="313"/>
      <c r="U2" s="313"/>
      <c r="V2" s="313"/>
      <c r="W2" s="313"/>
      <c r="AC2" s="97"/>
      <c r="AD2" s="97"/>
    </row>
    <row r="3" spans="1:35" ht="16.149999999999999" customHeight="1" x14ac:dyDescent="0.25">
      <c r="V3" s="9" t="s">
        <v>0</v>
      </c>
      <c r="AC3" s="97"/>
      <c r="AD3" s="97"/>
    </row>
    <row r="4" spans="1:35" ht="18.600000000000001" customHeight="1" x14ac:dyDescent="0.25">
      <c r="A4" s="308" t="s">
        <v>38</v>
      </c>
      <c r="B4" s="308" t="s">
        <v>39</v>
      </c>
      <c r="C4" s="308" t="s">
        <v>188</v>
      </c>
      <c r="D4" s="308" t="s">
        <v>189</v>
      </c>
      <c r="E4" s="312" t="s">
        <v>190</v>
      </c>
      <c r="F4" s="312"/>
      <c r="G4" s="312"/>
      <c r="H4" s="312"/>
      <c r="I4" s="312"/>
      <c r="J4" s="312"/>
      <c r="K4" s="312"/>
      <c r="L4" s="312"/>
      <c r="M4" s="312"/>
      <c r="N4" s="312"/>
      <c r="O4" s="312"/>
      <c r="P4" s="312"/>
      <c r="Q4" s="312"/>
      <c r="R4" s="312"/>
      <c r="S4" s="312"/>
      <c r="T4" s="312"/>
      <c r="U4" s="312"/>
      <c r="V4" s="308" t="s">
        <v>62</v>
      </c>
      <c r="W4" s="308" t="s">
        <v>37</v>
      </c>
      <c r="AC4" s="97"/>
      <c r="AD4" s="97"/>
    </row>
    <row r="5" spans="1:35" ht="16.149999999999999" customHeight="1" x14ac:dyDescent="0.25">
      <c r="A5" s="308"/>
      <c r="B5" s="308"/>
      <c r="C5" s="308"/>
      <c r="D5" s="308"/>
      <c r="E5" s="308" t="s">
        <v>40</v>
      </c>
      <c r="F5" s="308" t="s">
        <v>41</v>
      </c>
      <c r="G5" s="308" t="s">
        <v>42</v>
      </c>
      <c r="H5" s="308" t="s">
        <v>36</v>
      </c>
      <c r="I5" s="308"/>
      <c r="J5" s="308"/>
      <c r="K5" s="308"/>
      <c r="L5" s="308"/>
      <c r="M5" s="308"/>
      <c r="N5" s="308"/>
      <c r="O5" s="308"/>
      <c r="P5" s="308"/>
      <c r="Q5" s="308"/>
      <c r="R5" s="308"/>
      <c r="S5" s="308"/>
      <c r="T5" s="308" t="s">
        <v>43</v>
      </c>
      <c r="U5" s="308" t="s">
        <v>44</v>
      </c>
      <c r="V5" s="308"/>
      <c r="W5" s="308"/>
      <c r="X5" s="71"/>
      <c r="Y5" s="71"/>
      <c r="Z5" s="27"/>
      <c r="AA5" s="28"/>
      <c r="AC5" s="97"/>
      <c r="AD5" s="97"/>
    </row>
    <row r="6" spans="1:35" ht="70.900000000000006" customHeight="1" x14ac:dyDescent="0.25">
      <c r="A6" s="308"/>
      <c r="B6" s="308"/>
      <c r="C6" s="308"/>
      <c r="D6" s="308"/>
      <c r="E6" s="308"/>
      <c r="F6" s="308"/>
      <c r="G6" s="308"/>
      <c r="H6" s="155" t="s">
        <v>45</v>
      </c>
      <c r="I6" s="155" t="s">
        <v>46</v>
      </c>
      <c r="J6" s="155" t="s">
        <v>47</v>
      </c>
      <c r="K6" s="155" t="s">
        <v>48</v>
      </c>
      <c r="L6" s="155" t="s">
        <v>49</v>
      </c>
      <c r="M6" s="155" t="s">
        <v>50</v>
      </c>
      <c r="N6" s="155" t="s">
        <v>51</v>
      </c>
      <c r="O6" s="155" t="s">
        <v>52</v>
      </c>
      <c r="P6" s="155" t="s">
        <v>53</v>
      </c>
      <c r="Q6" s="155" t="s">
        <v>54</v>
      </c>
      <c r="R6" s="155" t="s">
        <v>55</v>
      </c>
      <c r="S6" s="155" t="s">
        <v>56</v>
      </c>
      <c r="T6" s="308"/>
      <c r="U6" s="308"/>
      <c r="V6" s="308"/>
      <c r="W6" s="308"/>
      <c r="X6" s="71"/>
      <c r="Y6" s="71"/>
      <c r="Z6" s="27"/>
      <c r="AA6" s="29"/>
      <c r="AC6" s="97"/>
      <c r="AD6" s="97"/>
    </row>
    <row r="7" spans="1:35" ht="20.25" customHeight="1" x14ac:dyDescent="0.25">
      <c r="A7" s="271" t="s">
        <v>80</v>
      </c>
      <c r="B7" s="271" t="s">
        <v>34</v>
      </c>
      <c r="C7" s="271">
        <v>1</v>
      </c>
      <c r="D7" s="271">
        <v>2</v>
      </c>
      <c r="E7" s="271" t="s">
        <v>57</v>
      </c>
      <c r="F7" s="271">
        <v>4</v>
      </c>
      <c r="G7" s="271" t="s">
        <v>58</v>
      </c>
      <c r="H7" s="271">
        <v>6</v>
      </c>
      <c r="I7" s="271">
        <v>7</v>
      </c>
      <c r="J7" s="271">
        <v>8</v>
      </c>
      <c r="K7" s="271">
        <v>9</v>
      </c>
      <c r="L7" s="271">
        <v>10</v>
      </c>
      <c r="M7" s="271">
        <v>11</v>
      </c>
      <c r="N7" s="271">
        <v>12</v>
      </c>
      <c r="O7" s="271">
        <v>13</v>
      </c>
      <c r="P7" s="271">
        <v>14</v>
      </c>
      <c r="Q7" s="271">
        <v>15</v>
      </c>
      <c r="R7" s="271">
        <v>16</v>
      </c>
      <c r="S7" s="271">
        <v>17</v>
      </c>
      <c r="T7" s="271">
        <v>18</v>
      </c>
      <c r="U7" s="271">
        <v>19</v>
      </c>
      <c r="V7" s="271" t="s">
        <v>194</v>
      </c>
      <c r="W7" s="271" t="s">
        <v>72</v>
      </c>
      <c r="X7" s="72"/>
      <c r="Y7" s="72"/>
      <c r="Z7" s="30"/>
      <c r="AA7" s="30"/>
      <c r="AB7" s="4"/>
      <c r="AC7" s="97"/>
      <c r="AD7" s="97"/>
    </row>
    <row r="8" spans="1:35" ht="19.149999999999999" customHeight="1" x14ac:dyDescent="0.25">
      <c r="A8" s="136"/>
      <c r="B8" s="137" t="s">
        <v>59</v>
      </c>
      <c r="C8" s="138">
        <f>C9</f>
        <v>69</v>
      </c>
      <c r="D8" s="138">
        <f t="shared" ref="D8:V8" si="0">D9</f>
        <v>65</v>
      </c>
      <c r="E8" s="139">
        <f t="shared" si="0"/>
        <v>309.91195849999986</v>
      </c>
      <c r="F8" s="139">
        <f t="shared" si="0"/>
        <v>173.41000000000003</v>
      </c>
      <c r="G8" s="139">
        <f t="shared" si="0"/>
        <v>88.183350000000019</v>
      </c>
      <c r="H8" s="139">
        <f t="shared" si="0"/>
        <v>2.1999999999999997</v>
      </c>
      <c r="I8" s="139">
        <f t="shared" si="0"/>
        <v>0.98250000000000004</v>
      </c>
      <c r="J8" s="139">
        <f t="shared" si="0"/>
        <v>30.001099999999987</v>
      </c>
      <c r="K8" s="139"/>
      <c r="L8" s="139"/>
      <c r="M8" s="139">
        <f t="shared" si="0"/>
        <v>4.1000000000000014</v>
      </c>
      <c r="N8" s="139">
        <f>N9</f>
        <v>50.199750000000002</v>
      </c>
      <c r="O8" s="139"/>
      <c r="P8" s="148"/>
      <c r="Q8" s="139"/>
      <c r="R8" s="139"/>
      <c r="S8" s="139">
        <f t="shared" si="0"/>
        <v>0.7</v>
      </c>
      <c r="T8" s="139">
        <f t="shared" si="0"/>
        <v>46.262497500000002</v>
      </c>
      <c r="U8" s="139">
        <f t="shared" si="0"/>
        <v>2.056111</v>
      </c>
      <c r="V8" s="147">
        <f t="shared" si="0"/>
        <v>557.84152530000017</v>
      </c>
      <c r="W8" s="138"/>
      <c r="X8" s="73">
        <f>V8*12</f>
        <v>6694.0983036000016</v>
      </c>
      <c r="Y8" s="73"/>
      <c r="Z8" s="37"/>
      <c r="AA8" s="31"/>
      <c r="AB8" s="22"/>
      <c r="AC8" s="97" t="s">
        <v>97</v>
      </c>
      <c r="AD8" s="26">
        <f>F8</f>
        <v>173.41000000000003</v>
      </c>
      <c r="AE8" s="38">
        <f>AD8*7%</f>
        <v>12.138700000000004</v>
      </c>
      <c r="AF8" s="25">
        <f>AE8+AD8</f>
        <v>185.54870000000003</v>
      </c>
      <c r="AG8" s="39">
        <f>AF8*1490000*6</f>
        <v>1658805378.0000005</v>
      </c>
      <c r="AH8" s="39">
        <f>AF8*1800000*6</f>
        <v>2003925960.0000005</v>
      </c>
      <c r="AI8" s="39">
        <f>AH8+AG8</f>
        <v>3662731338.000001</v>
      </c>
    </row>
    <row r="9" spans="1:35" s="4" customFormat="1" ht="19.149999999999999" customHeight="1" x14ac:dyDescent="0.25">
      <c r="A9" s="140">
        <v>1</v>
      </c>
      <c r="B9" s="141" t="s">
        <v>60</v>
      </c>
      <c r="C9" s="142">
        <v>69</v>
      </c>
      <c r="D9" s="142">
        <v>65</v>
      </c>
      <c r="E9" s="149">
        <f t="shared" ref="E9:J9" si="1">SUM(E10:E50)</f>
        <v>309.91195849999986</v>
      </c>
      <c r="F9" s="149">
        <f t="shared" si="1"/>
        <v>173.41000000000003</v>
      </c>
      <c r="G9" s="149">
        <f t="shared" si="1"/>
        <v>88.183350000000019</v>
      </c>
      <c r="H9" s="149">
        <f t="shared" si="1"/>
        <v>2.1999999999999997</v>
      </c>
      <c r="I9" s="149">
        <f t="shared" si="1"/>
        <v>0.98250000000000004</v>
      </c>
      <c r="J9" s="149">
        <f t="shared" si="1"/>
        <v>30.001099999999987</v>
      </c>
      <c r="K9" s="149"/>
      <c r="L9" s="149"/>
      <c r="M9" s="149">
        <f>SUM(M10:M50)</f>
        <v>4.1000000000000014</v>
      </c>
      <c r="N9" s="149">
        <f>SUM(N10:N50)</f>
        <v>50.199750000000002</v>
      </c>
      <c r="O9" s="149"/>
      <c r="P9" s="150"/>
      <c r="Q9" s="149"/>
      <c r="R9" s="149"/>
      <c r="S9" s="149">
        <f>SUM(S10:S50)</f>
        <v>0.7</v>
      </c>
      <c r="T9" s="149">
        <f>(F9+H9+J9)*22.5%</f>
        <v>46.262497500000002</v>
      </c>
      <c r="U9" s="149">
        <f>(F9+H9+J9)*1%</f>
        <v>2.056111</v>
      </c>
      <c r="V9" s="151">
        <f>SUM(V10:V50)</f>
        <v>557.84152530000017</v>
      </c>
      <c r="W9" s="143">
        <f>SUM(W10:W50)</f>
        <v>0</v>
      </c>
      <c r="X9" s="74"/>
      <c r="Y9" s="74"/>
      <c r="Z9" s="32"/>
      <c r="AA9" s="33">
        <v>2024</v>
      </c>
      <c r="AB9" s="23"/>
      <c r="AC9" s="97" t="s">
        <v>98</v>
      </c>
      <c r="AD9" s="26">
        <f>H8</f>
        <v>2.1999999999999997</v>
      </c>
      <c r="AE9" s="38">
        <f t="shared" ref="AE9:AE15" si="2">AD9*7%</f>
        <v>0.154</v>
      </c>
      <c r="AF9" s="25">
        <f t="shared" ref="AF9:AF15" si="3">AE9+AD9</f>
        <v>2.3539999999999996</v>
      </c>
      <c r="AG9" s="39">
        <f t="shared" ref="AG9:AG15" si="4">AF9*1490000*6</f>
        <v>21044759.999999996</v>
      </c>
      <c r="AH9" s="39">
        <f t="shared" ref="AH9:AH15" si="5">AF9*1800000*6</f>
        <v>25423199.999999993</v>
      </c>
      <c r="AI9" s="39">
        <f t="shared" ref="AI9:AI15" si="6">AH9+AG9</f>
        <v>46467959.999999985</v>
      </c>
    </row>
    <row r="10" spans="1:35" s="22" customFormat="1" ht="16.899999999999999" customHeight="1" x14ac:dyDescent="0.25">
      <c r="A10" s="144">
        <v>1</v>
      </c>
      <c r="B10" s="145" t="s">
        <v>219</v>
      </c>
      <c r="C10" s="146"/>
      <c r="D10" s="146"/>
      <c r="E10" s="289">
        <f>F10+G10+T10+U10</f>
        <v>8.3869275000000005</v>
      </c>
      <c r="F10" s="171">
        <v>4.34</v>
      </c>
      <c r="G10" s="229">
        <f>SUM(H10:S10)</f>
        <v>2.7435</v>
      </c>
      <c r="H10" s="290">
        <v>0.45000000000000007</v>
      </c>
      <c r="I10" s="146"/>
      <c r="J10" s="225">
        <v>0.75650000000000006</v>
      </c>
      <c r="K10" s="146"/>
      <c r="L10" s="291"/>
      <c r="M10" s="290">
        <v>0.1</v>
      </c>
      <c r="N10" s="227">
        <f>(F10+H10+I10)*30%</f>
        <v>1.4370000000000001</v>
      </c>
      <c r="O10" s="146"/>
      <c r="P10" s="227"/>
      <c r="Q10" s="146"/>
      <c r="R10" s="146"/>
      <c r="S10" s="228"/>
      <c r="T10" s="229">
        <f>(F10+H10+J10)*22.5%</f>
        <v>1.2479625000000001</v>
      </c>
      <c r="U10" s="229">
        <f>(F10+H10+J10)*1%</f>
        <v>5.5465E-2</v>
      </c>
      <c r="V10" s="229">
        <f>E10*1.8</f>
        <v>15.096469500000001</v>
      </c>
      <c r="W10" s="230"/>
      <c r="X10" s="75"/>
      <c r="Y10" s="76"/>
      <c r="Z10" s="181">
        <v>0.01</v>
      </c>
      <c r="AA10" s="181">
        <v>0.28000000000000003</v>
      </c>
      <c r="AB10" s="181">
        <f>AA10+Z10</f>
        <v>0.29000000000000004</v>
      </c>
      <c r="AC10" s="97" t="s">
        <v>99</v>
      </c>
      <c r="AD10" s="26">
        <f>I8</f>
        <v>0.98250000000000004</v>
      </c>
      <c r="AE10" s="38">
        <f t="shared" si="2"/>
        <v>6.8775000000000003E-2</v>
      </c>
      <c r="AF10" s="25">
        <f t="shared" si="3"/>
        <v>1.051275</v>
      </c>
      <c r="AG10" s="39">
        <f t="shared" si="4"/>
        <v>9398398.5</v>
      </c>
      <c r="AH10" s="39">
        <f t="shared" si="5"/>
        <v>11353770</v>
      </c>
      <c r="AI10" s="39">
        <f t="shared" si="6"/>
        <v>20752168.5</v>
      </c>
    </row>
    <row r="11" spans="1:35" s="23" customFormat="1" ht="16.899999999999999" customHeight="1" x14ac:dyDescent="0.25">
      <c r="A11" s="144">
        <v>2</v>
      </c>
      <c r="B11" s="145" t="s">
        <v>220</v>
      </c>
      <c r="C11" s="146"/>
      <c r="D11" s="146"/>
      <c r="E11" s="289">
        <f t="shared" ref="E11:E50" si="7">F11+G11+T11+U11</f>
        <v>9.0634599999999992</v>
      </c>
      <c r="F11" s="292">
        <v>4.68</v>
      </c>
      <c r="G11" s="229">
        <f t="shared" ref="G11:G50" si="8">SUM(H11:S11)</f>
        <v>2.9649999999999999</v>
      </c>
      <c r="H11" s="290">
        <v>0.35</v>
      </c>
      <c r="I11" s="146"/>
      <c r="J11" s="225">
        <v>1.006</v>
      </c>
      <c r="K11" s="146"/>
      <c r="L11" s="291"/>
      <c r="M11" s="290">
        <v>0.1</v>
      </c>
      <c r="N11" s="227">
        <f t="shared" ref="N11:N47" si="9">(F11+H11+I11)*30%</f>
        <v>1.5089999999999997</v>
      </c>
      <c r="O11" s="146"/>
      <c r="P11" s="227"/>
      <c r="Q11" s="146"/>
      <c r="R11" s="146"/>
      <c r="S11" s="228"/>
      <c r="T11" s="229">
        <f t="shared" ref="T11:T50" si="10">(F11+H11+J11)*22.5%</f>
        <v>1.3580999999999999</v>
      </c>
      <c r="U11" s="229">
        <f t="shared" ref="U11:U50" si="11">(F11+H11+J11)*1%</f>
        <v>6.0359999999999997E-2</v>
      </c>
      <c r="V11" s="229">
        <f t="shared" ref="V11:V50" si="12">E11*1.8</f>
        <v>16.314228</v>
      </c>
      <c r="W11" s="230"/>
      <c r="X11" s="75"/>
      <c r="Y11" s="75"/>
      <c r="Z11" s="181">
        <v>0.01</v>
      </c>
      <c r="AA11" s="181">
        <v>0.27</v>
      </c>
      <c r="AB11" s="181">
        <f t="shared" ref="AB11:AB50" si="13">AA11+Z11</f>
        <v>0.28000000000000003</v>
      </c>
      <c r="AC11" s="97" t="s">
        <v>100</v>
      </c>
      <c r="AD11" s="26">
        <f>J8</f>
        <v>30.001099999999987</v>
      </c>
      <c r="AE11" s="38">
        <f t="shared" si="2"/>
        <v>2.1000769999999993</v>
      </c>
      <c r="AF11" s="25">
        <f t="shared" si="3"/>
        <v>32.101176999999986</v>
      </c>
      <c r="AG11" s="39">
        <f t="shared" si="4"/>
        <v>286984522.37999988</v>
      </c>
      <c r="AH11" s="39">
        <f t="shared" si="5"/>
        <v>346692711.59999985</v>
      </c>
      <c r="AI11" s="39">
        <f t="shared" si="6"/>
        <v>633677233.97999978</v>
      </c>
    </row>
    <row r="12" spans="1:35" s="24" customFormat="1" ht="16.899999999999999" customHeight="1" x14ac:dyDescent="0.25">
      <c r="A12" s="144">
        <v>3</v>
      </c>
      <c r="B12" s="145" t="s">
        <v>221</v>
      </c>
      <c r="C12" s="146"/>
      <c r="D12" s="146"/>
      <c r="E12" s="289">
        <f t="shared" si="7"/>
        <v>8.5247685000000004</v>
      </c>
      <c r="F12" s="171">
        <v>4.6500000000000004</v>
      </c>
      <c r="G12" s="229">
        <f t="shared" si="8"/>
        <v>2.5571000000000002</v>
      </c>
      <c r="H12" s="290">
        <v>0.35</v>
      </c>
      <c r="I12" s="230"/>
      <c r="J12" s="225">
        <v>0.60709999999999997</v>
      </c>
      <c r="K12" s="146"/>
      <c r="L12" s="291"/>
      <c r="M12" s="290">
        <v>0.1</v>
      </c>
      <c r="N12" s="227">
        <f t="shared" si="9"/>
        <v>1.5</v>
      </c>
      <c r="O12" s="146"/>
      <c r="P12" s="227"/>
      <c r="Q12" s="146"/>
      <c r="R12" s="146"/>
      <c r="S12" s="228"/>
      <c r="T12" s="229">
        <f t="shared" si="10"/>
        <v>1.2615974999999999</v>
      </c>
      <c r="U12" s="229">
        <f t="shared" si="11"/>
        <v>5.6071000000000003E-2</v>
      </c>
      <c r="V12" s="229">
        <f t="shared" si="12"/>
        <v>15.344583300000002</v>
      </c>
      <c r="W12" s="230"/>
      <c r="X12" s="75"/>
      <c r="Y12" s="75"/>
      <c r="Z12" s="181">
        <v>0.01</v>
      </c>
      <c r="AA12" s="181">
        <v>0.25</v>
      </c>
      <c r="AB12" s="181">
        <f t="shared" si="13"/>
        <v>0.26</v>
      </c>
      <c r="AC12" s="97" t="s">
        <v>101</v>
      </c>
      <c r="AD12" s="26">
        <f>M8</f>
        <v>4.1000000000000014</v>
      </c>
      <c r="AE12" s="38">
        <f t="shared" si="2"/>
        <v>0.28700000000000014</v>
      </c>
      <c r="AF12" s="25">
        <f t="shared" si="3"/>
        <v>4.3870000000000013</v>
      </c>
      <c r="AG12" s="39">
        <f t="shared" si="4"/>
        <v>39219780.000000015</v>
      </c>
      <c r="AH12" s="39">
        <f t="shared" si="5"/>
        <v>47379600.000000015</v>
      </c>
      <c r="AI12" s="39">
        <f t="shared" si="6"/>
        <v>86599380.00000003</v>
      </c>
    </row>
    <row r="13" spans="1:35" s="24" customFormat="1" ht="16.899999999999999" customHeight="1" x14ac:dyDescent="0.25">
      <c r="A13" s="144">
        <v>4</v>
      </c>
      <c r="B13" s="145" t="s">
        <v>223</v>
      </c>
      <c r="C13" s="146"/>
      <c r="D13" s="146"/>
      <c r="E13" s="289">
        <f t="shared" si="7"/>
        <v>9.4385960000000004</v>
      </c>
      <c r="F13" s="171">
        <v>5.0199999999999996</v>
      </c>
      <c r="G13" s="229">
        <f t="shared" si="8"/>
        <v>2.9395999999999995</v>
      </c>
      <c r="H13" s="290">
        <v>0.2</v>
      </c>
      <c r="I13" s="230"/>
      <c r="J13" s="225">
        <v>1.0735999999999999</v>
      </c>
      <c r="K13" s="146"/>
      <c r="L13" s="291"/>
      <c r="M13" s="290">
        <v>0.1</v>
      </c>
      <c r="N13" s="227">
        <f t="shared" si="9"/>
        <v>1.5659999999999998</v>
      </c>
      <c r="O13" s="146"/>
      <c r="P13" s="227"/>
      <c r="Q13" s="146"/>
      <c r="R13" s="146"/>
      <c r="S13" s="228"/>
      <c r="T13" s="229">
        <f t="shared" si="10"/>
        <v>1.4160599999999999</v>
      </c>
      <c r="U13" s="229">
        <f t="shared" si="11"/>
        <v>6.2935999999999992E-2</v>
      </c>
      <c r="V13" s="229">
        <f t="shared" si="12"/>
        <v>16.989472800000001</v>
      </c>
      <c r="W13" s="230"/>
      <c r="X13" s="75"/>
      <c r="Y13" s="75"/>
      <c r="Z13" s="181">
        <v>0.01</v>
      </c>
      <c r="AA13" s="181">
        <v>0.25</v>
      </c>
      <c r="AB13" s="181">
        <f t="shared" si="13"/>
        <v>0.26</v>
      </c>
      <c r="AC13" s="97" t="s">
        <v>102</v>
      </c>
      <c r="AD13" s="26">
        <f>N8</f>
        <v>50.199750000000002</v>
      </c>
      <c r="AE13" s="38">
        <f t="shared" si="2"/>
        <v>3.5139825000000005</v>
      </c>
      <c r="AF13" s="25">
        <f t="shared" si="3"/>
        <v>53.713732499999999</v>
      </c>
      <c r="AG13" s="39">
        <f t="shared" si="4"/>
        <v>480200768.54999995</v>
      </c>
      <c r="AH13" s="39">
        <f t="shared" si="5"/>
        <v>580108311</v>
      </c>
      <c r="AI13" s="39">
        <f t="shared" si="6"/>
        <v>1060309079.55</v>
      </c>
    </row>
    <row r="14" spans="1:35" s="24" customFormat="1" ht="16.899999999999999" customHeight="1" x14ac:dyDescent="0.25">
      <c r="A14" s="144">
        <v>5</v>
      </c>
      <c r="B14" s="145" t="s">
        <v>224</v>
      </c>
      <c r="C14" s="146"/>
      <c r="D14" s="146"/>
      <c r="E14" s="289">
        <f t="shared" si="7"/>
        <v>7.8469499999999996</v>
      </c>
      <c r="F14" s="171">
        <v>4.34</v>
      </c>
      <c r="G14" s="229">
        <f t="shared" si="8"/>
        <v>2.2919999999999998</v>
      </c>
      <c r="H14" s="290">
        <v>0.2</v>
      </c>
      <c r="I14" s="230"/>
      <c r="J14" s="225">
        <v>0.63</v>
      </c>
      <c r="K14" s="146"/>
      <c r="L14" s="291"/>
      <c r="M14" s="290">
        <v>0.1</v>
      </c>
      <c r="N14" s="227">
        <f t="shared" si="9"/>
        <v>1.3619999999999999</v>
      </c>
      <c r="O14" s="146"/>
      <c r="P14" s="227"/>
      <c r="Q14" s="146"/>
      <c r="R14" s="146"/>
      <c r="S14" s="228"/>
      <c r="T14" s="229">
        <f t="shared" si="10"/>
        <v>1.1632500000000001</v>
      </c>
      <c r="U14" s="229">
        <f t="shared" si="11"/>
        <v>5.1700000000000003E-2</v>
      </c>
      <c r="V14" s="229">
        <f t="shared" si="12"/>
        <v>14.124509999999999</v>
      </c>
      <c r="W14" s="230"/>
      <c r="X14" s="75"/>
      <c r="Y14" s="75"/>
      <c r="Z14" s="181">
        <v>0.01</v>
      </c>
      <c r="AA14" s="181">
        <v>0.25</v>
      </c>
      <c r="AB14" s="181">
        <f t="shared" si="13"/>
        <v>0.26</v>
      </c>
      <c r="AC14" s="97" t="s">
        <v>103</v>
      </c>
      <c r="AD14" s="26">
        <f>S8</f>
        <v>0.7</v>
      </c>
      <c r="AE14" s="38">
        <f t="shared" si="2"/>
        <v>4.9000000000000002E-2</v>
      </c>
      <c r="AF14" s="25">
        <f t="shared" si="3"/>
        <v>0.749</v>
      </c>
      <c r="AG14" s="39">
        <f t="shared" si="4"/>
        <v>6696060</v>
      </c>
      <c r="AH14" s="39">
        <f t="shared" si="5"/>
        <v>8089200</v>
      </c>
      <c r="AI14" s="39">
        <f t="shared" si="6"/>
        <v>14785260</v>
      </c>
    </row>
    <row r="15" spans="1:35" s="24" customFormat="1" ht="16.899999999999999" customHeight="1" x14ac:dyDescent="0.25">
      <c r="A15" s="144">
        <v>6</v>
      </c>
      <c r="B15" s="145" t="s">
        <v>225</v>
      </c>
      <c r="C15" s="146"/>
      <c r="D15" s="146"/>
      <c r="E15" s="289">
        <f t="shared" si="7"/>
        <v>9.5272124999999992</v>
      </c>
      <c r="F15" s="171">
        <v>5.0199999999999996</v>
      </c>
      <c r="G15" s="229">
        <f t="shared" si="8"/>
        <v>3.0084999999999997</v>
      </c>
      <c r="H15" s="290">
        <v>0.15</v>
      </c>
      <c r="I15" s="230"/>
      <c r="J15" s="225">
        <v>1.2075</v>
      </c>
      <c r="K15" s="146"/>
      <c r="L15" s="291"/>
      <c r="M15" s="290">
        <v>0.1</v>
      </c>
      <c r="N15" s="227">
        <f t="shared" si="9"/>
        <v>1.5509999999999999</v>
      </c>
      <c r="O15" s="146"/>
      <c r="P15" s="227"/>
      <c r="Q15" s="146"/>
      <c r="R15" s="146"/>
      <c r="S15" s="228"/>
      <c r="T15" s="229">
        <f t="shared" si="10"/>
        <v>1.4349375</v>
      </c>
      <c r="U15" s="229">
        <f t="shared" si="11"/>
        <v>6.3774999999999998E-2</v>
      </c>
      <c r="V15" s="229">
        <f t="shared" si="12"/>
        <v>17.148982499999999</v>
      </c>
      <c r="W15" s="230"/>
      <c r="X15" s="75"/>
      <c r="Y15" s="75"/>
      <c r="Z15" s="181">
        <v>0.01</v>
      </c>
      <c r="AA15" s="181">
        <v>0.25</v>
      </c>
      <c r="AB15" s="181">
        <f t="shared" si="13"/>
        <v>0.26</v>
      </c>
      <c r="AC15" s="97" t="s">
        <v>104</v>
      </c>
      <c r="AD15" s="26">
        <f>(T8+U8)</f>
        <v>48.318608500000003</v>
      </c>
      <c r="AE15" s="38">
        <f t="shared" si="2"/>
        <v>3.3823025950000005</v>
      </c>
      <c r="AF15" s="25">
        <f t="shared" si="3"/>
        <v>51.700911095000002</v>
      </c>
      <c r="AG15" s="39">
        <f t="shared" si="4"/>
        <v>462206145.18930006</v>
      </c>
      <c r="AH15" s="39">
        <f t="shared" si="5"/>
        <v>558369839.82599998</v>
      </c>
      <c r="AI15" s="39">
        <f t="shared" si="6"/>
        <v>1020575985.0153</v>
      </c>
    </row>
    <row r="16" spans="1:35" s="24" customFormat="1" ht="16.899999999999999" customHeight="1" x14ac:dyDescent="0.25">
      <c r="A16" s="144">
        <v>7</v>
      </c>
      <c r="B16" s="145" t="s">
        <v>226</v>
      </c>
      <c r="C16" s="146"/>
      <c r="D16" s="146"/>
      <c r="E16" s="289">
        <f t="shared" si="7"/>
        <v>7.9659475000000004</v>
      </c>
      <c r="F16" s="171">
        <v>4.34</v>
      </c>
      <c r="G16" s="223">
        <f t="shared" si="8"/>
        <v>2.3855000000000004</v>
      </c>
      <c r="H16" s="290">
        <v>0.15</v>
      </c>
      <c r="I16" s="230"/>
      <c r="J16" s="225">
        <v>0.78850000000000009</v>
      </c>
      <c r="K16" s="146"/>
      <c r="L16" s="291"/>
      <c r="M16" s="290">
        <v>0.1</v>
      </c>
      <c r="N16" s="227">
        <f t="shared" si="9"/>
        <v>1.347</v>
      </c>
      <c r="O16" s="146"/>
      <c r="P16" s="227"/>
      <c r="Q16" s="146"/>
      <c r="R16" s="146"/>
      <c r="S16" s="228"/>
      <c r="T16" s="229">
        <f t="shared" si="10"/>
        <v>1.1876625000000001</v>
      </c>
      <c r="U16" s="229">
        <f t="shared" si="11"/>
        <v>5.2785000000000006E-2</v>
      </c>
      <c r="V16" s="229">
        <f t="shared" si="12"/>
        <v>14.338705500000001</v>
      </c>
      <c r="W16" s="230"/>
      <c r="X16" s="75"/>
      <c r="Y16" s="75"/>
      <c r="Z16" s="181">
        <v>0.01</v>
      </c>
      <c r="AA16" s="181">
        <v>0.25</v>
      </c>
      <c r="AB16" s="181">
        <f t="shared" si="13"/>
        <v>0.26</v>
      </c>
      <c r="AC16" s="97"/>
      <c r="AD16" s="26">
        <f>SUM(AD8:AD15)</f>
        <v>309.91195849999997</v>
      </c>
      <c r="AI16" s="40">
        <f>SUM(AI8:AI15)</f>
        <v>6545898405.0453005</v>
      </c>
    </row>
    <row r="17" spans="1:35" s="24" customFormat="1" ht="16.899999999999999" customHeight="1" x14ac:dyDescent="0.25">
      <c r="A17" s="144">
        <v>8</v>
      </c>
      <c r="B17" s="145" t="s">
        <v>227</v>
      </c>
      <c r="C17" s="146"/>
      <c r="D17" s="146"/>
      <c r="E17" s="289">
        <f t="shared" si="7"/>
        <v>8.1566314999999996</v>
      </c>
      <c r="F17" s="171">
        <v>4.34</v>
      </c>
      <c r="G17" s="223">
        <f t="shared" si="8"/>
        <v>2.5399000000000003</v>
      </c>
      <c r="H17" s="290">
        <v>0.15</v>
      </c>
      <c r="I17" s="230"/>
      <c r="J17" s="225">
        <v>0.94289999999999996</v>
      </c>
      <c r="K17" s="146"/>
      <c r="L17" s="291"/>
      <c r="M17" s="290">
        <v>0.1</v>
      </c>
      <c r="N17" s="227">
        <f t="shared" si="9"/>
        <v>1.347</v>
      </c>
      <c r="O17" s="146"/>
      <c r="P17" s="227"/>
      <c r="Q17" s="146"/>
      <c r="R17" s="146"/>
      <c r="S17" s="228"/>
      <c r="T17" s="229">
        <f t="shared" si="10"/>
        <v>1.2224025000000001</v>
      </c>
      <c r="U17" s="229">
        <f t="shared" si="11"/>
        <v>5.4329000000000002E-2</v>
      </c>
      <c r="V17" s="229">
        <f t="shared" si="12"/>
        <v>14.6819367</v>
      </c>
      <c r="W17" s="230"/>
      <c r="X17" s="75"/>
      <c r="Y17" s="75"/>
      <c r="Z17" s="181">
        <v>0.01</v>
      </c>
      <c r="AA17" s="181">
        <v>0.26</v>
      </c>
      <c r="AB17" s="181">
        <f t="shared" si="13"/>
        <v>0.27</v>
      </c>
      <c r="AC17" s="97"/>
      <c r="AD17" s="97"/>
      <c r="AI17" s="40">
        <f>AI9+AI10+AI11+AI12+AI13+AI14</f>
        <v>1862591082.0299997</v>
      </c>
    </row>
    <row r="18" spans="1:35" s="24" customFormat="1" ht="16.899999999999999" customHeight="1" x14ac:dyDescent="0.25">
      <c r="A18" s="144">
        <v>9</v>
      </c>
      <c r="B18" s="145" t="s">
        <v>228</v>
      </c>
      <c r="C18" s="146"/>
      <c r="D18" s="146"/>
      <c r="E18" s="289">
        <f t="shared" si="7"/>
        <v>8.4093789999999995</v>
      </c>
      <c r="F18" s="171">
        <v>4.68</v>
      </c>
      <c r="G18" s="223">
        <f t="shared" si="8"/>
        <v>2.4154</v>
      </c>
      <c r="H18" s="290"/>
      <c r="I18" s="230"/>
      <c r="J18" s="225">
        <v>0.91139999999999999</v>
      </c>
      <c r="K18" s="146"/>
      <c r="L18" s="291"/>
      <c r="M18" s="290">
        <v>0.1</v>
      </c>
      <c r="N18" s="227">
        <f t="shared" si="9"/>
        <v>1.4039999999999999</v>
      </c>
      <c r="O18" s="146"/>
      <c r="P18" s="227"/>
      <c r="Q18" s="146"/>
      <c r="R18" s="146"/>
      <c r="S18" s="228"/>
      <c r="T18" s="229">
        <f t="shared" si="10"/>
        <v>1.258065</v>
      </c>
      <c r="U18" s="229">
        <f t="shared" si="11"/>
        <v>5.5914000000000005E-2</v>
      </c>
      <c r="V18" s="229">
        <f t="shared" si="12"/>
        <v>15.136882199999999</v>
      </c>
      <c r="W18" s="230"/>
      <c r="X18" s="75"/>
      <c r="Y18" s="75"/>
      <c r="Z18" s="181">
        <v>0.01</v>
      </c>
      <c r="AA18" s="181">
        <v>0.25</v>
      </c>
      <c r="AB18" s="181">
        <f t="shared" si="13"/>
        <v>0.26</v>
      </c>
      <c r="AC18" s="97"/>
      <c r="AD18" s="97"/>
    </row>
    <row r="19" spans="1:35" s="24" customFormat="1" ht="16.899999999999999" customHeight="1" x14ac:dyDescent="0.25">
      <c r="A19" s="144">
        <v>10</v>
      </c>
      <c r="B19" s="145" t="s">
        <v>229</v>
      </c>
      <c r="C19" s="146"/>
      <c r="D19" s="146"/>
      <c r="E19" s="289">
        <f t="shared" si="7"/>
        <v>9.6149620000000002</v>
      </c>
      <c r="F19" s="171">
        <v>4.8899999999999997</v>
      </c>
      <c r="G19" s="223">
        <f t="shared" si="8"/>
        <v>3.2540499999999999</v>
      </c>
      <c r="H19" s="290"/>
      <c r="I19" s="232">
        <f>F19*5%</f>
        <v>0.2445</v>
      </c>
      <c r="J19" s="225">
        <v>1.3692</v>
      </c>
      <c r="K19" s="146"/>
      <c r="L19" s="291"/>
      <c r="M19" s="290">
        <v>0.1</v>
      </c>
      <c r="N19" s="227">
        <f t="shared" si="9"/>
        <v>1.5403499999999999</v>
      </c>
      <c r="O19" s="146"/>
      <c r="P19" s="227"/>
      <c r="Q19" s="146"/>
      <c r="R19" s="146"/>
      <c r="S19" s="228"/>
      <c r="T19" s="229">
        <f t="shared" si="10"/>
        <v>1.40832</v>
      </c>
      <c r="U19" s="229">
        <f t="shared" si="11"/>
        <v>6.2591999999999995E-2</v>
      </c>
      <c r="V19" s="229">
        <f t="shared" si="12"/>
        <v>17.306931600000002</v>
      </c>
      <c r="W19" s="230"/>
      <c r="X19" s="75"/>
      <c r="Y19" s="75"/>
      <c r="Z19" s="181">
        <v>0.01</v>
      </c>
      <c r="AA19" s="181">
        <v>0.23</v>
      </c>
      <c r="AB19" s="181">
        <f t="shared" si="13"/>
        <v>0.24000000000000002</v>
      </c>
      <c r="AC19" s="97"/>
      <c r="AD19" s="97"/>
    </row>
    <row r="20" spans="1:35" s="24" customFormat="1" ht="16.899999999999999" customHeight="1" x14ac:dyDescent="0.25">
      <c r="A20" s="144">
        <v>11</v>
      </c>
      <c r="B20" s="145" t="s">
        <v>230</v>
      </c>
      <c r="C20" s="146"/>
      <c r="D20" s="146"/>
      <c r="E20" s="289">
        <f t="shared" si="7"/>
        <v>9.0772560000000002</v>
      </c>
      <c r="F20" s="171">
        <v>5.0199999999999996</v>
      </c>
      <c r="G20" s="223">
        <f t="shared" si="8"/>
        <v>2.6355999999999997</v>
      </c>
      <c r="H20" s="290"/>
      <c r="I20" s="232"/>
      <c r="J20" s="225">
        <v>1.0295999999999998</v>
      </c>
      <c r="K20" s="146"/>
      <c r="L20" s="291"/>
      <c r="M20" s="290">
        <v>0.1</v>
      </c>
      <c r="N20" s="227">
        <f t="shared" si="9"/>
        <v>1.5059999999999998</v>
      </c>
      <c r="O20" s="146"/>
      <c r="P20" s="227"/>
      <c r="Q20" s="146"/>
      <c r="R20" s="146"/>
      <c r="S20" s="228"/>
      <c r="T20" s="229">
        <f t="shared" si="10"/>
        <v>1.3611599999999999</v>
      </c>
      <c r="U20" s="229">
        <f t="shared" si="11"/>
        <v>6.0496000000000001E-2</v>
      </c>
      <c r="V20" s="229">
        <f t="shared" si="12"/>
        <v>16.339060800000002</v>
      </c>
      <c r="W20" s="230"/>
      <c r="X20" s="75"/>
      <c r="Y20" s="75"/>
      <c r="Z20" s="181">
        <v>0.01</v>
      </c>
      <c r="AA20" s="181">
        <v>0.23</v>
      </c>
      <c r="AB20" s="181">
        <f t="shared" si="13"/>
        <v>0.24000000000000002</v>
      </c>
      <c r="AC20" s="97"/>
      <c r="AD20" s="97"/>
    </row>
    <row r="21" spans="1:35" s="24" customFormat="1" ht="16.899999999999999" customHeight="1" x14ac:dyDescent="0.25">
      <c r="A21" s="144">
        <v>12</v>
      </c>
      <c r="B21" s="145" t="s">
        <v>231</v>
      </c>
      <c r="C21" s="146"/>
      <c r="D21" s="146"/>
      <c r="E21" s="289">
        <f t="shared" si="7"/>
        <v>9.3556249999999981</v>
      </c>
      <c r="F21" s="171">
        <v>5.0199999999999996</v>
      </c>
      <c r="G21" s="223">
        <f t="shared" si="8"/>
        <v>2.8609999999999998</v>
      </c>
      <c r="H21" s="290"/>
      <c r="I21" s="232"/>
      <c r="J21" s="225">
        <v>1.2549999999999999</v>
      </c>
      <c r="K21" s="146"/>
      <c r="L21" s="291"/>
      <c r="M21" s="290">
        <v>0.1</v>
      </c>
      <c r="N21" s="227">
        <f t="shared" si="9"/>
        <v>1.5059999999999998</v>
      </c>
      <c r="O21" s="146"/>
      <c r="P21" s="227"/>
      <c r="Q21" s="146"/>
      <c r="R21" s="146"/>
      <c r="S21" s="228"/>
      <c r="T21" s="229">
        <f t="shared" si="10"/>
        <v>1.411875</v>
      </c>
      <c r="U21" s="229">
        <f t="shared" si="11"/>
        <v>6.275E-2</v>
      </c>
      <c r="V21" s="229">
        <f t="shared" si="12"/>
        <v>16.840124999999997</v>
      </c>
      <c r="W21" s="230"/>
      <c r="X21" s="75"/>
      <c r="Y21" s="75"/>
      <c r="Z21" s="181">
        <v>0.01</v>
      </c>
      <c r="AA21" s="181">
        <v>0.23</v>
      </c>
      <c r="AB21" s="181">
        <f t="shared" si="13"/>
        <v>0.24000000000000002</v>
      </c>
      <c r="AC21" s="97"/>
      <c r="AD21" s="97"/>
    </row>
    <row r="22" spans="1:35" s="24" customFormat="1" ht="16.899999999999999" customHeight="1" x14ac:dyDescent="0.25">
      <c r="A22" s="144">
        <v>13</v>
      </c>
      <c r="B22" s="145" t="s">
        <v>232</v>
      </c>
      <c r="C22" s="146"/>
      <c r="D22" s="146"/>
      <c r="E22" s="289">
        <f t="shared" si="7"/>
        <v>9.3556249999999981</v>
      </c>
      <c r="F22" s="171">
        <v>5.0199999999999996</v>
      </c>
      <c r="G22" s="223">
        <f t="shared" si="8"/>
        <v>2.8609999999999998</v>
      </c>
      <c r="H22" s="290"/>
      <c r="I22" s="232"/>
      <c r="J22" s="225">
        <v>1.2549999999999999</v>
      </c>
      <c r="K22" s="146"/>
      <c r="L22" s="291"/>
      <c r="M22" s="290">
        <v>0.1</v>
      </c>
      <c r="N22" s="227">
        <f t="shared" si="9"/>
        <v>1.5059999999999998</v>
      </c>
      <c r="O22" s="146"/>
      <c r="P22" s="227"/>
      <c r="Q22" s="146"/>
      <c r="R22" s="146"/>
      <c r="S22" s="228"/>
      <c r="T22" s="229">
        <f t="shared" si="10"/>
        <v>1.411875</v>
      </c>
      <c r="U22" s="229">
        <f t="shared" si="11"/>
        <v>6.275E-2</v>
      </c>
      <c r="V22" s="229">
        <f t="shared" si="12"/>
        <v>16.840124999999997</v>
      </c>
      <c r="W22" s="230"/>
      <c r="X22" s="75"/>
      <c r="Y22" s="75"/>
      <c r="Z22" s="181">
        <v>0.01</v>
      </c>
      <c r="AA22" s="181">
        <v>0.24</v>
      </c>
      <c r="AB22" s="181">
        <f t="shared" si="13"/>
        <v>0.25</v>
      </c>
      <c r="AC22" s="97"/>
      <c r="AD22" s="97"/>
    </row>
    <row r="23" spans="1:35" s="24" customFormat="1" ht="16.899999999999999" customHeight="1" x14ac:dyDescent="0.25">
      <c r="A23" s="144">
        <v>14</v>
      </c>
      <c r="B23" s="145" t="s">
        <v>233</v>
      </c>
      <c r="C23" s="146"/>
      <c r="D23" s="146"/>
      <c r="E23" s="289">
        <f t="shared" si="7"/>
        <v>9.7961364999999994</v>
      </c>
      <c r="F23" s="171">
        <v>4.8899999999999997</v>
      </c>
      <c r="G23" s="223">
        <f t="shared" si="8"/>
        <v>3.4007499999999995</v>
      </c>
      <c r="H23" s="290"/>
      <c r="I23" s="232">
        <f>F23*5%</f>
        <v>0.2445</v>
      </c>
      <c r="J23" s="225">
        <v>1.5158999999999998</v>
      </c>
      <c r="K23" s="146"/>
      <c r="L23" s="291"/>
      <c r="M23" s="290">
        <v>0.1</v>
      </c>
      <c r="N23" s="227">
        <f t="shared" si="9"/>
        <v>1.5403499999999999</v>
      </c>
      <c r="O23" s="146"/>
      <c r="P23" s="227"/>
      <c r="Q23" s="146"/>
      <c r="R23" s="146"/>
      <c r="S23" s="228"/>
      <c r="T23" s="229">
        <f t="shared" si="10"/>
        <v>1.4413274999999999</v>
      </c>
      <c r="U23" s="229">
        <f t="shared" si="11"/>
        <v>6.4058999999999991E-2</v>
      </c>
      <c r="V23" s="229">
        <f t="shared" si="12"/>
        <v>17.6330457</v>
      </c>
      <c r="W23" s="230"/>
      <c r="X23" s="75"/>
      <c r="Y23" s="75"/>
      <c r="Z23" s="181">
        <v>0.01</v>
      </c>
      <c r="AA23" s="181">
        <v>0.23</v>
      </c>
      <c r="AB23" s="181">
        <f t="shared" si="13"/>
        <v>0.24000000000000002</v>
      </c>
      <c r="AC23" s="97"/>
      <c r="AD23" s="97"/>
    </row>
    <row r="24" spans="1:35" s="24" customFormat="1" ht="16.899999999999999" customHeight="1" x14ac:dyDescent="0.25">
      <c r="A24" s="144">
        <v>15</v>
      </c>
      <c r="B24" s="145" t="s">
        <v>234</v>
      </c>
      <c r="C24" s="146"/>
      <c r="D24" s="146"/>
      <c r="E24" s="289">
        <f t="shared" si="7"/>
        <v>9.6149620000000002</v>
      </c>
      <c r="F24" s="292">
        <v>4.8899999999999997</v>
      </c>
      <c r="G24" s="223">
        <f t="shared" si="8"/>
        <v>3.2540499999999999</v>
      </c>
      <c r="H24" s="290"/>
      <c r="I24" s="232">
        <f>F24*5%</f>
        <v>0.2445</v>
      </c>
      <c r="J24" s="225">
        <v>1.3692</v>
      </c>
      <c r="K24" s="146"/>
      <c r="L24" s="291"/>
      <c r="M24" s="290">
        <v>0.1</v>
      </c>
      <c r="N24" s="227">
        <f t="shared" si="9"/>
        <v>1.5403499999999999</v>
      </c>
      <c r="O24" s="146"/>
      <c r="P24" s="227"/>
      <c r="Q24" s="146"/>
      <c r="R24" s="146"/>
      <c r="S24" s="228"/>
      <c r="T24" s="229">
        <f t="shared" si="10"/>
        <v>1.40832</v>
      </c>
      <c r="U24" s="229">
        <f t="shared" si="11"/>
        <v>6.2591999999999995E-2</v>
      </c>
      <c r="V24" s="229">
        <f t="shared" si="12"/>
        <v>17.306931600000002</v>
      </c>
      <c r="W24" s="230"/>
      <c r="X24" s="75"/>
      <c r="Y24" s="75"/>
      <c r="Z24" s="181">
        <v>0.01</v>
      </c>
      <c r="AA24" s="181">
        <v>0.21</v>
      </c>
      <c r="AB24" s="181">
        <f t="shared" si="13"/>
        <v>0.22</v>
      </c>
      <c r="AC24" s="97"/>
      <c r="AD24" s="97"/>
    </row>
    <row r="25" spans="1:35" s="24" customFormat="1" ht="16.899999999999999" customHeight="1" x14ac:dyDescent="0.25">
      <c r="A25" s="144">
        <v>16</v>
      </c>
      <c r="B25" s="145" t="s">
        <v>235</v>
      </c>
      <c r="C25" s="146"/>
      <c r="D25" s="146"/>
      <c r="E25" s="289">
        <f t="shared" si="7"/>
        <v>9.1333509999999993</v>
      </c>
      <c r="F25" s="171">
        <v>4.8899999999999997</v>
      </c>
      <c r="G25" s="223">
        <f t="shared" si="8"/>
        <v>2.8036000000000003</v>
      </c>
      <c r="H25" s="290"/>
      <c r="I25" s="232"/>
      <c r="J25" s="225">
        <v>1.2366000000000001</v>
      </c>
      <c r="K25" s="146"/>
      <c r="L25" s="291"/>
      <c r="M25" s="290">
        <v>0.1</v>
      </c>
      <c r="N25" s="227">
        <f t="shared" si="9"/>
        <v>1.4669999999999999</v>
      </c>
      <c r="O25" s="146"/>
      <c r="P25" s="227"/>
      <c r="Q25" s="146"/>
      <c r="R25" s="146"/>
      <c r="S25" s="228"/>
      <c r="T25" s="229">
        <f t="shared" si="10"/>
        <v>1.378485</v>
      </c>
      <c r="U25" s="229">
        <f t="shared" si="11"/>
        <v>6.1266000000000001E-2</v>
      </c>
      <c r="V25" s="229">
        <f t="shared" si="12"/>
        <v>16.4400318</v>
      </c>
      <c r="W25" s="230"/>
      <c r="X25" s="75"/>
      <c r="Y25" s="75"/>
      <c r="Z25" s="181">
        <v>0.01</v>
      </c>
      <c r="AA25" s="181">
        <v>0.22</v>
      </c>
      <c r="AB25" s="181">
        <f t="shared" si="13"/>
        <v>0.23</v>
      </c>
      <c r="AC25" s="97"/>
      <c r="AD25" s="97"/>
    </row>
    <row r="26" spans="1:35" s="24" customFormat="1" ht="16.899999999999999" customHeight="1" x14ac:dyDescent="0.25">
      <c r="A26" s="144">
        <v>17</v>
      </c>
      <c r="B26" s="145" t="s">
        <v>236</v>
      </c>
      <c r="C26" s="146"/>
      <c r="D26" s="146"/>
      <c r="E26" s="289">
        <f t="shared" si="7"/>
        <v>8.7287499999999998</v>
      </c>
      <c r="F26" s="171">
        <v>4.68</v>
      </c>
      <c r="G26" s="223">
        <f t="shared" si="8"/>
        <v>2.6739999999999999</v>
      </c>
      <c r="H26" s="290"/>
      <c r="I26" s="232"/>
      <c r="J26" s="225">
        <v>1.17</v>
      </c>
      <c r="K26" s="146"/>
      <c r="L26" s="291"/>
      <c r="M26" s="290">
        <v>0.1</v>
      </c>
      <c r="N26" s="227">
        <f t="shared" si="9"/>
        <v>1.4039999999999999</v>
      </c>
      <c r="O26" s="146"/>
      <c r="P26" s="227"/>
      <c r="Q26" s="146"/>
      <c r="R26" s="146"/>
      <c r="S26" s="228"/>
      <c r="T26" s="229">
        <f t="shared" si="10"/>
        <v>1.3162499999999999</v>
      </c>
      <c r="U26" s="229">
        <f t="shared" si="11"/>
        <v>5.8499999999999996E-2</v>
      </c>
      <c r="V26" s="229">
        <f t="shared" si="12"/>
        <v>15.71175</v>
      </c>
      <c r="W26" s="230"/>
      <c r="X26" s="75"/>
      <c r="Y26" s="75"/>
      <c r="Z26" s="181">
        <v>0.01</v>
      </c>
      <c r="AA26" s="181">
        <v>0.2</v>
      </c>
      <c r="AB26" s="181">
        <f t="shared" si="13"/>
        <v>0.21000000000000002</v>
      </c>
      <c r="AC26" s="97"/>
      <c r="AD26" s="97"/>
    </row>
    <row r="27" spans="1:35" s="24" customFormat="1" ht="16.899999999999999" customHeight="1" x14ac:dyDescent="0.25">
      <c r="A27" s="144">
        <v>18</v>
      </c>
      <c r="B27" s="145" t="s">
        <v>237</v>
      </c>
      <c r="C27" s="146"/>
      <c r="D27" s="146"/>
      <c r="E27" s="289">
        <f t="shared" si="7"/>
        <v>9.9130900000000004</v>
      </c>
      <c r="F27" s="171">
        <v>4.9800000000000004</v>
      </c>
      <c r="G27" s="223">
        <f t="shared" si="8"/>
        <v>3.4117000000000002</v>
      </c>
      <c r="H27" s="290"/>
      <c r="I27" s="232">
        <f t="shared" ref="I27" si="14">F27*5%</f>
        <v>0.24900000000000003</v>
      </c>
      <c r="J27" s="225">
        <v>1.494</v>
      </c>
      <c r="K27" s="146"/>
      <c r="L27" s="291"/>
      <c r="M27" s="290">
        <v>0.1</v>
      </c>
      <c r="N27" s="227">
        <f t="shared" si="9"/>
        <v>1.5687</v>
      </c>
      <c r="O27" s="146"/>
      <c r="P27" s="227"/>
      <c r="Q27" s="146"/>
      <c r="R27" s="146"/>
      <c r="S27" s="228"/>
      <c r="T27" s="229">
        <f t="shared" si="10"/>
        <v>1.45665</v>
      </c>
      <c r="U27" s="229">
        <f t="shared" si="11"/>
        <v>6.4740000000000006E-2</v>
      </c>
      <c r="V27" s="229">
        <f t="shared" si="12"/>
        <v>17.843562000000002</v>
      </c>
      <c r="W27" s="230"/>
      <c r="X27" s="75"/>
      <c r="Y27" s="75"/>
      <c r="Z27" s="181">
        <v>0.01</v>
      </c>
      <c r="AA27" s="181">
        <v>0.15</v>
      </c>
      <c r="AB27" s="181">
        <f t="shared" si="13"/>
        <v>0.16</v>
      </c>
      <c r="AC27" s="97"/>
      <c r="AD27" s="97"/>
    </row>
    <row r="28" spans="1:35" s="24" customFormat="1" ht="16.899999999999999" customHeight="1" x14ac:dyDescent="0.25">
      <c r="A28" s="144">
        <v>19</v>
      </c>
      <c r="B28" s="145" t="s">
        <v>238</v>
      </c>
      <c r="C28" s="146"/>
      <c r="D28" s="146"/>
      <c r="E28" s="289">
        <f t="shared" si="7"/>
        <v>8.5553559999999997</v>
      </c>
      <c r="F28" s="171">
        <v>4.68</v>
      </c>
      <c r="G28" s="223">
        <f t="shared" si="8"/>
        <v>2.5335999999999999</v>
      </c>
      <c r="H28" s="290"/>
      <c r="I28" s="220"/>
      <c r="J28" s="225">
        <v>1.0295999999999998</v>
      </c>
      <c r="K28" s="146"/>
      <c r="L28" s="291"/>
      <c r="M28" s="290">
        <v>0.1</v>
      </c>
      <c r="N28" s="227">
        <f t="shared" si="9"/>
        <v>1.4039999999999999</v>
      </c>
      <c r="O28" s="146"/>
      <c r="P28" s="227"/>
      <c r="Q28" s="146"/>
      <c r="R28" s="146"/>
      <c r="S28" s="228"/>
      <c r="T28" s="229">
        <f t="shared" si="10"/>
        <v>1.2846600000000001</v>
      </c>
      <c r="U28" s="229">
        <f t="shared" si="11"/>
        <v>5.7096000000000001E-2</v>
      </c>
      <c r="V28" s="229">
        <f t="shared" si="12"/>
        <v>15.3996408</v>
      </c>
      <c r="W28" s="230"/>
      <c r="X28" s="75"/>
      <c r="Y28" s="75"/>
      <c r="Z28" s="181">
        <v>0.01</v>
      </c>
      <c r="AA28" s="181">
        <v>0.18</v>
      </c>
      <c r="AB28" s="181">
        <f t="shared" si="13"/>
        <v>0.19</v>
      </c>
      <c r="AC28" s="97"/>
      <c r="AD28" s="97"/>
    </row>
    <row r="29" spans="1:35" s="24" customFormat="1" ht="16.899999999999999" customHeight="1" x14ac:dyDescent="0.25">
      <c r="A29" s="144">
        <v>20</v>
      </c>
      <c r="B29" s="145" t="s">
        <v>239</v>
      </c>
      <c r="C29" s="146"/>
      <c r="D29" s="146"/>
      <c r="E29" s="289">
        <f t="shared" si="7"/>
        <v>7.6017000000000001</v>
      </c>
      <c r="F29" s="171">
        <v>4.34</v>
      </c>
      <c r="G29" s="223">
        <f t="shared" si="8"/>
        <v>2.0819999999999999</v>
      </c>
      <c r="H29" s="290"/>
      <c r="I29" s="220"/>
      <c r="J29" s="225">
        <v>0.68</v>
      </c>
      <c r="K29" s="146"/>
      <c r="L29" s="291"/>
      <c r="M29" s="290">
        <v>0.1</v>
      </c>
      <c r="N29" s="227">
        <f t="shared" si="9"/>
        <v>1.3019999999999998</v>
      </c>
      <c r="O29" s="146"/>
      <c r="P29" s="227"/>
      <c r="Q29" s="146"/>
      <c r="R29" s="146"/>
      <c r="S29" s="228"/>
      <c r="T29" s="229">
        <f t="shared" si="10"/>
        <v>1.1294999999999999</v>
      </c>
      <c r="U29" s="229">
        <f t="shared" si="11"/>
        <v>5.0199999999999995E-2</v>
      </c>
      <c r="V29" s="229">
        <f t="shared" si="12"/>
        <v>13.683060000000001</v>
      </c>
      <c r="W29" s="230"/>
      <c r="X29" s="75"/>
      <c r="Y29" s="75"/>
      <c r="Z29" s="181">
        <v>0.01</v>
      </c>
      <c r="AA29" s="181">
        <v>0.18</v>
      </c>
      <c r="AB29" s="181">
        <f t="shared" si="13"/>
        <v>0.19</v>
      </c>
      <c r="AC29" s="97"/>
      <c r="AD29" s="97"/>
    </row>
    <row r="30" spans="1:35" s="24" customFormat="1" ht="16.899999999999999" customHeight="1" x14ac:dyDescent="0.25">
      <c r="A30" s="144">
        <v>21</v>
      </c>
      <c r="B30" s="145" t="s">
        <v>240</v>
      </c>
      <c r="C30" s="146"/>
      <c r="D30" s="146"/>
      <c r="E30" s="289">
        <f t="shared" si="7"/>
        <v>7.6017000000000001</v>
      </c>
      <c r="F30" s="171">
        <v>4.34</v>
      </c>
      <c r="G30" s="223">
        <f t="shared" si="8"/>
        <v>2.0819999999999999</v>
      </c>
      <c r="H30" s="290"/>
      <c r="I30" s="220"/>
      <c r="J30" s="225">
        <v>0.68</v>
      </c>
      <c r="K30" s="146"/>
      <c r="L30" s="291"/>
      <c r="M30" s="290">
        <v>0.1</v>
      </c>
      <c r="N30" s="227">
        <f t="shared" si="9"/>
        <v>1.3019999999999998</v>
      </c>
      <c r="O30" s="146"/>
      <c r="P30" s="227"/>
      <c r="Q30" s="146"/>
      <c r="R30" s="146"/>
      <c r="S30" s="228"/>
      <c r="T30" s="229">
        <f t="shared" si="10"/>
        <v>1.1294999999999999</v>
      </c>
      <c r="U30" s="229">
        <f t="shared" si="11"/>
        <v>5.0199999999999995E-2</v>
      </c>
      <c r="V30" s="229">
        <f t="shared" si="12"/>
        <v>13.683060000000001</v>
      </c>
      <c r="W30" s="230"/>
      <c r="X30" s="75"/>
      <c r="Y30" s="75"/>
      <c r="Z30" s="181">
        <v>0.01</v>
      </c>
      <c r="AA30" s="181">
        <v>0.16</v>
      </c>
      <c r="AB30" s="181">
        <f t="shared" si="13"/>
        <v>0.17</v>
      </c>
      <c r="AC30" s="97"/>
      <c r="AD30" s="97"/>
    </row>
    <row r="31" spans="1:35" s="24" customFormat="1" ht="16.899999999999999" customHeight="1" x14ac:dyDescent="0.25">
      <c r="A31" s="144">
        <v>22</v>
      </c>
      <c r="B31" s="145" t="s">
        <v>241</v>
      </c>
      <c r="C31" s="146"/>
      <c r="D31" s="146"/>
      <c r="E31" s="289">
        <f t="shared" si="7"/>
        <v>7.6017000000000001</v>
      </c>
      <c r="F31" s="171">
        <v>4.34</v>
      </c>
      <c r="G31" s="223">
        <f t="shared" si="8"/>
        <v>2.0819999999999999</v>
      </c>
      <c r="H31" s="290"/>
      <c r="I31" s="220"/>
      <c r="J31" s="225">
        <v>0.68</v>
      </c>
      <c r="K31" s="146"/>
      <c r="L31" s="291"/>
      <c r="M31" s="290">
        <v>0.1</v>
      </c>
      <c r="N31" s="227">
        <f t="shared" si="9"/>
        <v>1.3019999999999998</v>
      </c>
      <c r="O31" s="146"/>
      <c r="P31" s="227"/>
      <c r="Q31" s="146"/>
      <c r="R31" s="146"/>
      <c r="S31" s="228"/>
      <c r="T31" s="229">
        <f t="shared" si="10"/>
        <v>1.1294999999999999</v>
      </c>
      <c r="U31" s="229">
        <f t="shared" si="11"/>
        <v>5.0199999999999995E-2</v>
      </c>
      <c r="V31" s="229">
        <f t="shared" si="12"/>
        <v>13.683060000000001</v>
      </c>
      <c r="W31" s="230"/>
      <c r="X31" s="75"/>
      <c r="Y31" s="75"/>
      <c r="Z31" s="181">
        <v>0.01</v>
      </c>
      <c r="AA31" s="181">
        <v>0.18</v>
      </c>
      <c r="AB31" s="181">
        <f t="shared" si="13"/>
        <v>0.19</v>
      </c>
      <c r="AC31" s="97"/>
      <c r="AD31" s="97"/>
    </row>
    <row r="32" spans="1:35" s="24" customFormat="1" ht="16.899999999999999" customHeight="1" x14ac:dyDescent="0.25">
      <c r="A32" s="144">
        <v>23</v>
      </c>
      <c r="B32" s="145" t="s">
        <v>242</v>
      </c>
      <c r="C32" s="146"/>
      <c r="D32" s="146"/>
      <c r="E32" s="289">
        <f t="shared" si="7"/>
        <v>7.6510999999999996</v>
      </c>
      <c r="F32" s="171">
        <v>4.34</v>
      </c>
      <c r="G32" s="223">
        <f t="shared" si="8"/>
        <v>2.1219999999999999</v>
      </c>
      <c r="H32" s="290"/>
      <c r="I32" s="220"/>
      <c r="J32" s="225">
        <v>0.72</v>
      </c>
      <c r="K32" s="146"/>
      <c r="L32" s="291"/>
      <c r="M32" s="290">
        <v>0.1</v>
      </c>
      <c r="N32" s="227">
        <f t="shared" si="9"/>
        <v>1.3019999999999998</v>
      </c>
      <c r="O32" s="146"/>
      <c r="P32" s="227"/>
      <c r="Q32" s="146"/>
      <c r="R32" s="146"/>
      <c r="S32" s="228"/>
      <c r="T32" s="229">
        <f t="shared" si="10"/>
        <v>1.1384999999999998</v>
      </c>
      <c r="U32" s="229">
        <f t="shared" si="11"/>
        <v>5.0599999999999999E-2</v>
      </c>
      <c r="V32" s="229">
        <f t="shared" si="12"/>
        <v>13.771979999999999</v>
      </c>
      <c r="W32" s="230"/>
      <c r="X32" s="75"/>
      <c r="Y32" s="75"/>
      <c r="Z32" s="181">
        <v>0.01</v>
      </c>
      <c r="AA32" s="181">
        <v>0.16</v>
      </c>
      <c r="AB32" s="181">
        <f t="shared" si="13"/>
        <v>0.17</v>
      </c>
      <c r="AC32" s="97"/>
      <c r="AD32" s="97"/>
    </row>
    <row r="33" spans="1:30" s="24" customFormat="1" ht="16.899999999999999" customHeight="1" x14ac:dyDescent="0.25">
      <c r="A33" s="144">
        <v>24</v>
      </c>
      <c r="B33" s="145" t="s">
        <v>243</v>
      </c>
      <c r="C33" s="146"/>
      <c r="D33" s="146"/>
      <c r="E33" s="289">
        <f t="shared" si="7"/>
        <v>6.9930670000000008</v>
      </c>
      <c r="F33" s="171">
        <v>3.99</v>
      </c>
      <c r="G33" s="223">
        <f t="shared" si="8"/>
        <v>1.9192</v>
      </c>
      <c r="H33" s="290"/>
      <c r="I33" s="220"/>
      <c r="J33" s="225">
        <v>0.62220000000000009</v>
      </c>
      <c r="K33" s="146"/>
      <c r="L33" s="291"/>
      <c r="M33" s="290">
        <v>0.1</v>
      </c>
      <c r="N33" s="227">
        <f t="shared" si="9"/>
        <v>1.1970000000000001</v>
      </c>
      <c r="O33" s="146"/>
      <c r="P33" s="227"/>
      <c r="Q33" s="146"/>
      <c r="R33" s="146"/>
      <c r="S33" s="228"/>
      <c r="T33" s="229">
        <f t="shared" si="10"/>
        <v>1.0377450000000001</v>
      </c>
      <c r="U33" s="229">
        <f t="shared" si="11"/>
        <v>4.6122000000000003E-2</v>
      </c>
      <c r="V33" s="229">
        <f t="shared" si="12"/>
        <v>12.587520600000001</v>
      </c>
      <c r="W33" s="230"/>
      <c r="X33" s="75"/>
      <c r="Y33" s="75"/>
      <c r="Z33" s="181">
        <v>0.01</v>
      </c>
      <c r="AA33" s="181">
        <v>0.15</v>
      </c>
      <c r="AB33" s="181">
        <f t="shared" si="13"/>
        <v>0.16</v>
      </c>
      <c r="AC33" s="97"/>
      <c r="AD33" s="97"/>
    </row>
    <row r="34" spans="1:30" s="24" customFormat="1" ht="16.899999999999999" customHeight="1" x14ac:dyDescent="0.25">
      <c r="A34" s="144">
        <v>25</v>
      </c>
      <c r="B34" s="145" t="s">
        <v>244</v>
      </c>
      <c r="C34" s="146"/>
      <c r="D34" s="146"/>
      <c r="E34" s="289">
        <f t="shared" si="7"/>
        <v>6.3509140000000004</v>
      </c>
      <c r="F34" s="171">
        <v>3.66</v>
      </c>
      <c r="G34" s="223">
        <f t="shared" si="8"/>
        <v>1.7104000000000001</v>
      </c>
      <c r="H34" s="290"/>
      <c r="I34" s="220"/>
      <c r="J34" s="225">
        <v>0.51240000000000008</v>
      </c>
      <c r="K34" s="146"/>
      <c r="L34" s="291"/>
      <c r="M34" s="290">
        <v>0.1</v>
      </c>
      <c r="N34" s="227">
        <f t="shared" si="9"/>
        <v>1.0980000000000001</v>
      </c>
      <c r="O34" s="146"/>
      <c r="P34" s="227"/>
      <c r="Q34" s="146"/>
      <c r="R34" s="146"/>
      <c r="S34" s="228"/>
      <c r="T34" s="229">
        <f t="shared" si="10"/>
        <v>0.93879000000000012</v>
      </c>
      <c r="U34" s="229">
        <f t="shared" si="11"/>
        <v>4.1724000000000004E-2</v>
      </c>
      <c r="V34" s="229">
        <f t="shared" si="12"/>
        <v>11.4316452</v>
      </c>
      <c r="W34" s="230"/>
      <c r="X34" s="75"/>
      <c r="Y34" s="75"/>
      <c r="Z34" s="181">
        <v>0.01</v>
      </c>
      <c r="AA34" s="181">
        <v>0.15</v>
      </c>
      <c r="AB34" s="181">
        <f t="shared" si="13"/>
        <v>0.16</v>
      </c>
      <c r="AC34" s="97"/>
      <c r="AD34" s="97"/>
    </row>
    <row r="35" spans="1:30" s="24" customFormat="1" ht="16.899999999999999" customHeight="1" x14ac:dyDescent="0.25">
      <c r="A35" s="144">
        <v>26</v>
      </c>
      <c r="B35" s="145" t="s">
        <v>245</v>
      </c>
      <c r="C35" s="146"/>
      <c r="D35" s="146"/>
      <c r="E35" s="289">
        <f t="shared" si="7"/>
        <v>7.4535</v>
      </c>
      <c r="F35" s="171">
        <v>4.34</v>
      </c>
      <c r="G35" s="223">
        <f t="shared" si="8"/>
        <v>1.9619999999999997</v>
      </c>
      <c r="H35" s="290"/>
      <c r="I35" s="220"/>
      <c r="J35" s="225">
        <v>0.56000000000000005</v>
      </c>
      <c r="K35" s="146"/>
      <c r="L35" s="291"/>
      <c r="M35" s="290">
        <v>0.1</v>
      </c>
      <c r="N35" s="227">
        <f t="shared" si="9"/>
        <v>1.3019999999999998</v>
      </c>
      <c r="O35" s="146"/>
      <c r="P35" s="227"/>
      <c r="Q35" s="146"/>
      <c r="R35" s="146"/>
      <c r="S35" s="293"/>
      <c r="T35" s="229">
        <f t="shared" si="10"/>
        <v>1.1025</v>
      </c>
      <c r="U35" s="229">
        <f t="shared" si="11"/>
        <v>4.9000000000000002E-2</v>
      </c>
      <c r="V35" s="229">
        <f t="shared" si="12"/>
        <v>13.4163</v>
      </c>
      <c r="W35" s="230"/>
      <c r="X35" s="75"/>
      <c r="Y35" s="75"/>
      <c r="Z35" s="181">
        <v>0.01</v>
      </c>
      <c r="AA35" s="181">
        <v>0.14000000000000001</v>
      </c>
      <c r="AB35" s="181">
        <f t="shared" si="13"/>
        <v>0.15000000000000002</v>
      </c>
      <c r="AC35" s="97"/>
      <c r="AD35" s="97"/>
    </row>
    <row r="36" spans="1:30" s="24" customFormat="1" ht="16.899999999999999" customHeight="1" x14ac:dyDescent="0.25">
      <c r="A36" s="144">
        <v>27</v>
      </c>
      <c r="B36" s="145" t="s">
        <v>257</v>
      </c>
      <c r="C36" s="146"/>
      <c r="D36" s="146"/>
      <c r="E36" s="289">
        <f t="shared" si="7"/>
        <v>7.8028999999999993</v>
      </c>
      <c r="F36" s="171">
        <v>4.34</v>
      </c>
      <c r="G36" s="223">
        <f t="shared" si="8"/>
        <v>2.3019999999999996</v>
      </c>
      <c r="H36" s="290"/>
      <c r="I36" s="220"/>
      <c r="J36" s="225">
        <v>0.6</v>
      </c>
      <c r="K36" s="146"/>
      <c r="L36" s="291"/>
      <c r="M36" s="290">
        <v>0.1</v>
      </c>
      <c r="N36" s="227">
        <f t="shared" si="9"/>
        <v>1.3019999999999998</v>
      </c>
      <c r="O36" s="146"/>
      <c r="P36" s="227"/>
      <c r="Q36" s="146"/>
      <c r="R36" s="146"/>
      <c r="S36" s="228">
        <v>0.3</v>
      </c>
      <c r="T36" s="229">
        <f t="shared" si="10"/>
        <v>1.1114999999999999</v>
      </c>
      <c r="U36" s="229">
        <f t="shared" si="11"/>
        <v>4.9399999999999999E-2</v>
      </c>
      <c r="V36" s="229">
        <f t="shared" si="12"/>
        <v>14.045219999999999</v>
      </c>
      <c r="W36" s="230"/>
      <c r="X36" s="75"/>
      <c r="Y36" s="75"/>
      <c r="Z36" s="181">
        <v>0.01</v>
      </c>
      <c r="AA36" s="181">
        <v>0.17</v>
      </c>
      <c r="AB36" s="181">
        <f t="shared" si="13"/>
        <v>0.18000000000000002</v>
      </c>
      <c r="AC36" s="97"/>
      <c r="AD36" s="97"/>
    </row>
    <row r="37" spans="1:30" s="24" customFormat="1" ht="16.899999999999999" customHeight="1" x14ac:dyDescent="0.25">
      <c r="A37" s="144">
        <v>28</v>
      </c>
      <c r="B37" s="145" t="s">
        <v>246</v>
      </c>
      <c r="C37" s="146"/>
      <c r="D37" s="146"/>
      <c r="E37" s="289">
        <f t="shared" si="7"/>
        <v>7.3546999999999993</v>
      </c>
      <c r="F37" s="171">
        <v>4.34</v>
      </c>
      <c r="G37" s="223">
        <f t="shared" si="8"/>
        <v>1.8819999999999997</v>
      </c>
      <c r="H37" s="290"/>
      <c r="I37" s="220"/>
      <c r="J37" s="225">
        <v>0.48</v>
      </c>
      <c r="K37" s="146"/>
      <c r="L37" s="291"/>
      <c r="M37" s="290">
        <v>0.1</v>
      </c>
      <c r="N37" s="227">
        <f t="shared" si="9"/>
        <v>1.3019999999999998</v>
      </c>
      <c r="O37" s="146"/>
      <c r="P37" s="227"/>
      <c r="Q37" s="146"/>
      <c r="R37" s="146"/>
      <c r="S37" s="228"/>
      <c r="T37" s="229">
        <f t="shared" si="10"/>
        <v>1.0845</v>
      </c>
      <c r="U37" s="229">
        <f t="shared" si="11"/>
        <v>4.8200000000000007E-2</v>
      </c>
      <c r="V37" s="229">
        <f t="shared" si="12"/>
        <v>13.23846</v>
      </c>
      <c r="W37" s="230"/>
      <c r="X37" s="75"/>
      <c r="Y37" s="75"/>
      <c r="Z37" s="181">
        <v>0.01</v>
      </c>
      <c r="AA37" s="181">
        <v>0.23</v>
      </c>
      <c r="AB37" s="181">
        <f t="shared" si="13"/>
        <v>0.24000000000000002</v>
      </c>
      <c r="AC37" s="97"/>
      <c r="AD37" s="97"/>
    </row>
    <row r="38" spans="1:30" s="24" customFormat="1" ht="16.899999999999999" customHeight="1" x14ac:dyDescent="0.25">
      <c r="A38" s="144">
        <v>29</v>
      </c>
      <c r="B38" s="145" t="s">
        <v>247</v>
      </c>
      <c r="C38" s="146"/>
      <c r="D38" s="146"/>
      <c r="E38" s="289">
        <f t="shared" si="7"/>
        <v>9.2506499999999985</v>
      </c>
      <c r="F38" s="171">
        <v>5.0199999999999996</v>
      </c>
      <c r="G38" s="223">
        <f t="shared" si="8"/>
        <v>2.7759999999999998</v>
      </c>
      <c r="H38" s="290"/>
      <c r="I38" s="220"/>
      <c r="J38" s="225">
        <v>1.17</v>
      </c>
      <c r="K38" s="146"/>
      <c r="L38" s="291"/>
      <c r="M38" s="290">
        <v>0.1</v>
      </c>
      <c r="N38" s="227">
        <f t="shared" si="9"/>
        <v>1.5059999999999998</v>
      </c>
      <c r="O38" s="146"/>
      <c r="P38" s="227"/>
      <c r="Q38" s="146"/>
      <c r="R38" s="146"/>
      <c r="S38" s="228"/>
      <c r="T38" s="229">
        <f t="shared" si="10"/>
        <v>1.3927499999999999</v>
      </c>
      <c r="U38" s="229">
        <f t="shared" si="11"/>
        <v>6.1899999999999997E-2</v>
      </c>
      <c r="V38" s="229">
        <f t="shared" si="12"/>
        <v>16.651169999999997</v>
      </c>
      <c r="W38" s="230"/>
      <c r="X38" s="75"/>
      <c r="Y38" s="75"/>
      <c r="Z38" s="181">
        <v>0.01</v>
      </c>
      <c r="AA38" s="181">
        <v>0.14000000000000001</v>
      </c>
      <c r="AB38" s="181">
        <f t="shared" si="13"/>
        <v>0.15000000000000002</v>
      </c>
      <c r="AC38" s="97"/>
      <c r="AD38" s="97"/>
    </row>
    <row r="39" spans="1:30" s="24" customFormat="1" ht="16.899999999999999" customHeight="1" x14ac:dyDescent="0.25">
      <c r="A39" s="144">
        <v>30</v>
      </c>
      <c r="B39" s="145" t="s">
        <v>248</v>
      </c>
      <c r="C39" s="146"/>
      <c r="D39" s="146"/>
      <c r="E39" s="289">
        <f t="shared" si="7"/>
        <v>8.4486625000000011</v>
      </c>
      <c r="F39" s="171">
        <v>4.58</v>
      </c>
      <c r="G39" s="223">
        <f t="shared" si="8"/>
        <v>2.5415000000000001</v>
      </c>
      <c r="H39" s="290"/>
      <c r="I39" s="220"/>
      <c r="J39" s="225">
        <v>1.0674999999999999</v>
      </c>
      <c r="K39" s="146"/>
      <c r="L39" s="291"/>
      <c r="M39" s="290">
        <v>0.1</v>
      </c>
      <c r="N39" s="227">
        <f t="shared" si="9"/>
        <v>1.3739999999999999</v>
      </c>
      <c r="O39" s="146"/>
      <c r="P39" s="227"/>
      <c r="Q39" s="146"/>
      <c r="R39" s="146"/>
      <c r="S39" s="228"/>
      <c r="T39" s="229">
        <f t="shared" si="10"/>
        <v>1.2706875</v>
      </c>
      <c r="U39" s="229">
        <f t="shared" si="11"/>
        <v>5.6474999999999997E-2</v>
      </c>
      <c r="V39" s="229">
        <f t="shared" si="12"/>
        <v>15.207592500000002</v>
      </c>
      <c r="W39" s="230"/>
      <c r="X39" s="75"/>
      <c r="Y39" s="75"/>
      <c r="Z39" s="181">
        <v>0.01</v>
      </c>
      <c r="AA39" s="181">
        <v>0.23</v>
      </c>
      <c r="AB39" s="181">
        <f t="shared" si="13"/>
        <v>0.24000000000000002</v>
      </c>
      <c r="AC39" s="97"/>
      <c r="AD39" s="97"/>
    </row>
    <row r="40" spans="1:30" s="24" customFormat="1" ht="16.899999999999999" customHeight="1" x14ac:dyDescent="0.25">
      <c r="A40" s="144">
        <v>31</v>
      </c>
      <c r="B40" s="145" t="s">
        <v>249</v>
      </c>
      <c r="C40" s="146"/>
      <c r="D40" s="146"/>
      <c r="E40" s="289">
        <f t="shared" si="7"/>
        <v>7.8874789999999999</v>
      </c>
      <c r="F40" s="171">
        <v>4.34</v>
      </c>
      <c r="G40" s="223">
        <f t="shared" si="8"/>
        <v>2.3133999999999997</v>
      </c>
      <c r="H40" s="290"/>
      <c r="I40" s="220"/>
      <c r="J40" s="225">
        <v>0.91139999999999999</v>
      </c>
      <c r="K40" s="146"/>
      <c r="L40" s="291"/>
      <c r="M40" s="290">
        <v>0.1</v>
      </c>
      <c r="N40" s="227">
        <f t="shared" si="9"/>
        <v>1.3019999999999998</v>
      </c>
      <c r="O40" s="146"/>
      <c r="P40" s="227"/>
      <c r="Q40" s="146"/>
      <c r="R40" s="146"/>
      <c r="S40" s="228"/>
      <c r="T40" s="229">
        <f t="shared" si="10"/>
        <v>1.1815650000000002</v>
      </c>
      <c r="U40" s="229">
        <f t="shared" si="11"/>
        <v>5.2514000000000005E-2</v>
      </c>
      <c r="V40" s="229">
        <f t="shared" si="12"/>
        <v>14.1974622</v>
      </c>
      <c r="W40" s="230"/>
      <c r="X40" s="75"/>
      <c r="Y40" s="75"/>
      <c r="Z40" s="181">
        <v>0.01</v>
      </c>
      <c r="AA40" s="181">
        <v>0.11</v>
      </c>
      <c r="AB40" s="181">
        <f t="shared" si="13"/>
        <v>0.12</v>
      </c>
      <c r="AC40" s="97"/>
      <c r="AD40" s="97"/>
    </row>
    <row r="41" spans="1:30" s="24" customFormat="1" ht="16.899999999999999" customHeight="1" x14ac:dyDescent="0.25">
      <c r="A41" s="144">
        <v>32</v>
      </c>
      <c r="B41" s="145" t="s">
        <v>250</v>
      </c>
      <c r="C41" s="146"/>
      <c r="D41" s="146"/>
      <c r="E41" s="289">
        <f t="shared" si="7"/>
        <v>5.5449999999999999</v>
      </c>
      <c r="F41" s="171">
        <v>3.33</v>
      </c>
      <c r="G41" s="223">
        <f t="shared" si="8"/>
        <v>1.369</v>
      </c>
      <c r="H41" s="290"/>
      <c r="I41" s="220"/>
      <c r="J41" s="225">
        <v>0.27</v>
      </c>
      <c r="K41" s="146"/>
      <c r="L41" s="291"/>
      <c r="M41" s="290">
        <v>0.1</v>
      </c>
      <c r="N41" s="227">
        <f t="shared" si="9"/>
        <v>0.999</v>
      </c>
      <c r="O41" s="146"/>
      <c r="P41" s="227"/>
      <c r="Q41" s="146"/>
      <c r="R41" s="146"/>
      <c r="S41" s="228"/>
      <c r="T41" s="229">
        <f t="shared" si="10"/>
        <v>0.81</v>
      </c>
      <c r="U41" s="229">
        <f t="shared" si="11"/>
        <v>3.6000000000000004E-2</v>
      </c>
      <c r="V41" s="229">
        <f t="shared" si="12"/>
        <v>9.9809999999999999</v>
      </c>
      <c r="W41" s="230"/>
      <c r="X41" s="75"/>
      <c r="Y41" s="75"/>
      <c r="Z41" s="181">
        <v>0.01</v>
      </c>
      <c r="AA41" s="181">
        <v>0.11</v>
      </c>
      <c r="AB41" s="181">
        <f t="shared" si="13"/>
        <v>0.12</v>
      </c>
      <c r="AC41" s="97"/>
      <c r="AD41" s="97"/>
    </row>
    <row r="42" spans="1:30" s="24" customFormat="1" ht="16.899999999999999" customHeight="1" x14ac:dyDescent="0.25">
      <c r="A42" s="144">
        <v>33</v>
      </c>
      <c r="B42" s="145" t="s">
        <v>251</v>
      </c>
      <c r="C42" s="146"/>
      <c r="D42" s="146"/>
      <c r="E42" s="289">
        <f t="shared" si="7"/>
        <v>7.2558999999999987</v>
      </c>
      <c r="F42" s="171">
        <v>4.34</v>
      </c>
      <c r="G42" s="223">
        <f t="shared" si="8"/>
        <v>1.8019999999999998</v>
      </c>
      <c r="H42" s="290"/>
      <c r="I42" s="220"/>
      <c r="J42" s="225">
        <v>0.4</v>
      </c>
      <c r="K42" s="146"/>
      <c r="L42" s="291"/>
      <c r="M42" s="290">
        <v>0.1</v>
      </c>
      <c r="N42" s="227">
        <f t="shared" si="9"/>
        <v>1.3019999999999998</v>
      </c>
      <c r="O42" s="146"/>
      <c r="P42" s="227"/>
      <c r="Q42" s="146"/>
      <c r="R42" s="146"/>
      <c r="S42" s="228"/>
      <c r="T42" s="229">
        <f t="shared" si="10"/>
        <v>1.0665</v>
      </c>
      <c r="U42" s="229">
        <f t="shared" si="11"/>
        <v>4.7400000000000005E-2</v>
      </c>
      <c r="V42" s="229">
        <f t="shared" si="12"/>
        <v>13.060619999999998</v>
      </c>
      <c r="W42" s="230"/>
      <c r="X42" s="75"/>
      <c r="Y42" s="75"/>
      <c r="Z42" s="181">
        <v>0.01</v>
      </c>
      <c r="AA42" s="181">
        <v>0.11</v>
      </c>
      <c r="AB42" s="181">
        <f t="shared" si="13"/>
        <v>0.12</v>
      </c>
      <c r="AC42" s="97"/>
      <c r="AD42" s="97"/>
    </row>
    <row r="43" spans="1:30" s="24" customFormat="1" ht="16.899999999999999" customHeight="1" x14ac:dyDescent="0.25">
      <c r="A43" s="144">
        <v>34</v>
      </c>
      <c r="B43" s="145" t="s">
        <v>252</v>
      </c>
      <c r="C43" s="146"/>
      <c r="D43" s="146"/>
      <c r="E43" s="289">
        <f t="shared" si="7"/>
        <v>4.7050000000000001</v>
      </c>
      <c r="F43" s="171">
        <v>3</v>
      </c>
      <c r="G43" s="223">
        <f t="shared" si="8"/>
        <v>0.99999999999999989</v>
      </c>
      <c r="H43" s="290"/>
      <c r="I43" s="220"/>
      <c r="J43" s="227"/>
      <c r="K43" s="146"/>
      <c r="L43" s="291"/>
      <c r="M43" s="290">
        <v>0.1</v>
      </c>
      <c r="N43" s="227">
        <f t="shared" si="9"/>
        <v>0.89999999999999991</v>
      </c>
      <c r="O43" s="146"/>
      <c r="P43" s="227"/>
      <c r="Q43" s="146"/>
      <c r="R43" s="146"/>
      <c r="S43" s="228"/>
      <c r="T43" s="229">
        <f t="shared" si="10"/>
        <v>0.67500000000000004</v>
      </c>
      <c r="U43" s="229">
        <f t="shared" si="11"/>
        <v>0.03</v>
      </c>
      <c r="V43" s="229">
        <f t="shared" si="12"/>
        <v>8.4690000000000012</v>
      </c>
      <c r="W43" s="230"/>
      <c r="X43" s="75"/>
      <c r="Y43" s="75"/>
      <c r="Z43" s="181">
        <v>0.01</v>
      </c>
      <c r="AA43" s="181">
        <v>0.2</v>
      </c>
      <c r="AB43" s="181">
        <f t="shared" si="13"/>
        <v>0.21000000000000002</v>
      </c>
      <c r="AC43" s="97"/>
      <c r="AD43" s="97"/>
    </row>
    <row r="44" spans="1:30" s="24" customFormat="1" ht="16.899999999999999" customHeight="1" x14ac:dyDescent="0.25">
      <c r="A44" s="144">
        <v>35</v>
      </c>
      <c r="B44" s="145" t="s">
        <v>253</v>
      </c>
      <c r="C44" s="146"/>
      <c r="D44" s="146"/>
      <c r="E44" s="289">
        <f t="shared" si="7"/>
        <v>4.7050000000000001</v>
      </c>
      <c r="F44" s="171">
        <v>3</v>
      </c>
      <c r="G44" s="223">
        <f t="shared" si="8"/>
        <v>0.99999999999999989</v>
      </c>
      <c r="H44" s="290"/>
      <c r="I44" s="220"/>
      <c r="J44" s="227"/>
      <c r="K44" s="146"/>
      <c r="L44" s="291"/>
      <c r="M44" s="290">
        <v>0.1</v>
      </c>
      <c r="N44" s="227">
        <f t="shared" si="9"/>
        <v>0.89999999999999991</v>
      </c>
      <c r="O44" s="146"/>
      <c r="P44" s="227"/>
      <c r="Q44" s="146"/>
      <c r="R44" s="146"/>
      <c r="S44" s="228"/>
      <c r="T44" s="229">
        <f t="shared" si="10"/>
        <v>0.67500000000000004</v>
      </c>
      <c r="U44" s="229">
        <f t="shared" si="11"/>
        <v>0.03</v>
      </c>
      <c r="V44" s="229">
        <f t="shared" si="12"/>
        <v>8.4690000000000012</v>
      </c>
      <c r="W44" s="230"/>
      <c r="X44" s="75"/>
      <c r="Y44" s="75"/>
      <c r="Z44" s="181">
        <v>0.01</v>
      </c>
      <c r="AA44" s="181">
        <v>0.14000000000000001</v>
      </c>
      <c r="AB44" s="181">
        <f t="shared" si="13"/>
        <v>0.15000000000000002</v>
      </c>
      <c r="AC44" s="97"/>
      <c r="AD44" s="97"/>
    </row>
    <row r="45" spans="1:30" s="24" customFormat="1" ht="16.899999999999999" customHeight="1" x14ac:dyDescent="0.25">
      <c r="A45" s="144">
        <v>36</v>
      </c>
      <c r="B45" s="145" t="s">
        <v>254</v>
      </c>
      <c r="C45" s="146"/>
      <c r="D45" s="146"/>
      <c r="E45" s="289">
        <f t="shared" si="7"/>
        <v>4.1984499999999993</v>
      </c>
      <c r="F45" s="171">
        <v>2.67</v>
      </c>
      <c r="G45" s="223">
        <f t="shared" si="8"/>
        <v>0.90099999999999991</v>
      </c>
      <c r="H45" s="290"/>
      <c r="I45" s="220"/>
      <c r="J45" s="227"/>
      <c r="K45" s="146"/>
      <c r="L45" s="291"/>
      <c r="M45" s="290">
        <v>0.1</v>
      </c>
      <c r="N45" s="227">
        <f t="shared" si="9"/>
        <v>0.80099999999999993</v>
      </c>
      <c r="O45" s="146"/>
      <c r="P45" s="227"/>
      <c r="Q45" s="146"/>
      <c r="R45" s="146"/>
      <c r="S45" s="228"/>
      <c r="T45" s="229">
        <f t="shared" si="10"/>
        <v>0.60075000000000001</v>
      </c>
      <c r="U45" s="229">
        <f t="shared" si="11"/>
        <v>2.6700000000000002E-2</v>
      </c>
      <c r="V45" s="229">
        <f t="shared" si="12"/>
        <v>7.5572099999999987</v>
      </c>
      <c r="W45" s="230"/>
      <c r="X45" s="75"/>
      <c r="Y45" s="75"/>
      <c r="Z45" s="181">
        <v>0.01</v>
      </c>
      <c r="AA45" s="181">
        <v>0.14000000000000001</v>
      </c>
      <c r="AB45" s="181">
        <f t="shared" si="13"/>
        <v>0.15000000000000002</v>
      </c>
      <c r="AC45" s="97"/>
      <c r="AD45" s="97"/>
    </row>
    <row r="46" spans="1:30" s="24" customFormat="1" ht="16.899999999999999" customHeight="1" x14ac:dyDescent="0.25">
      <c r="A46" s="144">
        <v>37</v>
      </c>
      <c r="B46" s="145" t="s">
        <v>255</v>
      </c>
      <c r="C46" s="146"/>
      <c r="D46" s="146"/>
      <c r="E46" s="289">
        <f t="shared" si="7"/>
        <v>4.1984499999999993</v>
      </c>
      <c r="F46" s="171">
        <v>2.67</v>
      </c>
      <c r="G46" s="223">
        <f t="shared" si="8"/>
        <v>0.90099999999999991</v>
      </c>
      <c r="H46" s="290"/>
      <c r="I46" s="220"/>
      <c r="J46" s="227"/>
      <c r="K46" s="146"/>
      <c r="L46" s="291"/>
      <c r="M46" s="290">
        <v>0.1</v>
      </c>
      <c r="N46" s="227">
        <f t="shared" si="9"/>
        <v>0.80099999999999993</v>
      </c>
      <c r="O46" s="146"/>
      <c r="P46" s="227"/>
      <c r="Q46" s="146"/>
      <c r="R46" s="146"/>
      <c r="S46" s="228"/>
      <c r="T46" s="229">
        <f t="shared" si="10"/>
        <v>0.60075000000000001</v>
      </c>
      <c r="U46" s="229">
        <f t="shared" si="11"/>
        <v>2.6700000000000002E-2</v>
      </c>
      <c r="V46" s="229">
        <f t="shared" si="12"/>
        <v>7.5572099999999987</v>
      </c>
      <c r="W46" s="230"/>
      <c r="X46" s="75"/>
      <c r="Y46" s="75"/>
      <c r="Z46" s="181">
        <v>0.01</v>
      </c>
      <c r="AA46" s="181">
        <v>0.26</v>
      </c>
      <c r="AB46" s="181">
        <f t="shared" si="13"/>
        <v>0.27</v>
      </c>
      <c r="AC46" s="97"/>
      <c r="AD46" s="97"/>
    </row>
    <row r="47" spans="1:30" s="24" customFormat="1" ht="16.899999999999999" customHeight="1" x14ac:dyDescent="0.25">
      <c r="A47" s="144">
        <v>38</v>
      </c>
      <c r="B47" s="145" t="s">
        <v>256</v>
      </c>
      <c r="C47" s="146"/>
      <c r="D47" s="146"/>
      <c r="E47" s="289">
        <f t="shared" si="7"/>
        <v>4.7050000000000001</v>
      </c>
      <c r="F47" s="171">
        <v>3</v>
      </c>
      <c r="G47" s="223">
        <f t="shared" si="8"/>
        <v>0.99999999999999989</v>
      </c>
      <c r="H47" s="290"/>
      <c r="I47" s="220"/>
      <c r="J47" s="227"/>
      <c r="K47" s="146"/>
      <c r="L47" s="291"/>
      <c r="M47" s="290">
        <v>0.1</v>
      </c>
      <c r="N47" s="227">
        <f t="shared" si="9"/>
        <v>0.89999999999999991</v>
      </c>
      <c r="O47" s="146"/>
      <c r="P47" s="227"/>
      <c r="Q47" s="146"/>
      <c r="R47" s="146"/>
      <c r="S47" s="228"/>
      <c r="T47" s="229">
        <f t="shared" si="10"/>
        <v>0.67500000000000004</v>
      </c>
      <c r="U47" s="229">
        <f t="shared" si="11"/>
        <v>0.03</v>
      </c>
      <c r="V47" s="229">
        <f t="shared" si="12"/>
        <v>8.4690000000000012</v>
      </c>
      <c r="W47" s="230"/>
      <c r="X47" s="75"/>
      <c r="Y47" s="75"/>
      <c r="Z47" s="181">
        <v>0.01</v>
      </c>
      <c r="AA47" s="181">
        <v>0.13</v>
      </c>
      <c r="AB47" s="181">
        <f t="shared" si="13"/>
        <v>0.14000000000000001</v>
      </c>
      <c r="AC47" s="97"/>
      <c r="AD47" s="97"/>
    </row>
    <row r="48" spans="1:30" s="24" customFormat="1" ht="16.899999999999999" customHeight="1" x14ac:dyDescent="0.25">
      <c r="A48" s="144">
        <v>39</v>
      </c>
      <c r="B48" s="145" t="s">
        <v>262</v>
      </c>
      <c r="C48" s="146"/>
      <c r="D48" s="146"/>
      <c r="E48" s="289">
        <f t="shared" si="7"/>
        <v>4.4249000000000001</v>
      </c>
      <c r="F48" s="171">
        <v>3.34</v>
      </c>
      <c r="G48" s="223">
        <f t="shared" si="8"/>
        <v>0.30000000000000004</v>
      </c>
      <c r="H48" s="290"/>
      <c r="I48" s="220"/>
      <c r="J48" s="227"/>
      <c r="K48" s="146"/>
      <c r="L48" s="291"/>
      <c r="M48" s="290">
        <v>0.1</v>
      </c>
      <c r="N48" s="227">
        <v>0</v>
      </c>
      <c r="O48" s="146"/>
      <c r="P48" s="227"/>
      <c r="Q48" s="146"/>
      <c r="R48" s="146"/>
      <c r="S48" s="228">
        <v>0.2</v>
      </c>
      <c r="T48" s="229">
        <f t="shared" si="10"/>
        <v>0.75149999999999995</v>
      </c>
      <c r="U48" s="229">
        <f t="shared" si="11"/>
        <v>3.3399999999999999E-2</v>
      </c>
      <c r="V48" s="229">
        <f t="shared" si="12"/>
        <v>7.9648200000000005</v>
      </c>
      <c r="W48" s="230"/>
      <c r="X48" s="75"/>
      <c r="Y48" s="75"/>
      <c r="Z48" s="181">
        <v>0.01</v>
      </c>
      <c r="AA48" s="181">
        <v>0.24</v>
      </c>
      <c r="AB48" s="181">
        <f t="shared" si="13"/>
        <v>0.25</v>
      </c>
      <c r="AC48" s="97"/>
      <c r="AD48" s="97"/>
    </row>
    <row r="49" spans="1:30" s="24" customFormat="1" ht="16.899999999999999" customHeight="1" x14ac:dyDescent="0.25">
      <c r="A49" s="144">
        <v>40</v>
      </c>
      <c r="B49" s="145" t="s">
        <v>259</v>
      </c>
      <c r="C49" s="146"/>
      <c r="D49" s="146"/>
      <c r="E49" s="289">
        <f t="shared" si="7"/>
        <v>4.0791000000000004</v>
      </c>
      <c r="F49" s="171">
        <v>3.06</v>
      </c>
      <c r="G49" s="223">
        <f t="shared" si="8"/>
        <v>0.30000000000000004</v>
      </c>
      <c r="H49" s="290"/>
      <c r="I49" s="220"/>
      <c r="J49" s="227"/>
      <c r="K49" s="146"/>
      <c r="L49" s="291"/>
      <c r="M49" s="290">
        <v>0.1</v>
      </c>
      <c r="N49" s="227">
        <v>0</v>
      </c>
      <c r="O49" s="146"/>
      <c r="P49" s="227"/>
      <c r="Q49" s="146"/>
      <c r="R49" s="146"/>
      <c r="S49" s="228">
        <v>0.2</v>
      </c>
      <c r="T49" s="229">
        <f t="shared" si="10"/>
        <v>0.6885</v>
      </c>
      <c r="U49" s="229">
        <f t="shared" si="11"/>
        <v>3.0600000000000002E-2</v>
      </c>
      <c r="V49" s="229">
        <f t="shared" si="12"/>
        <v>7.3423800000000012</v>
      </c>
      <c r="W49" s="230"/>
      <c r="X49" s="75"/>
      <c r="Y49" s="75"/>
      <c r="Z49" s="181">
        <v>0.01</v>
      </c>
      <c r="AA49" s="181">
        <v>0.31</v>
      </c>
      <c r="AB49" s="181">
        <f t="shared" si="13"/>
        <v>0.32</v>
      </c>
      <c r="AC49" s="97"/>
      <c r="AD49" s="97"/>
    </row>
    <row r="50" spans="1:30" s="24" customFormat="1" ht="16.899999999999999" customHeight="1" x14ac:dyDescent="0.25">
      <c r="A50" s="144">
        <v>41</v>
      </c>
      <c r="B50" s="145" t="s">
        <v>260</v>
      </c>
      <c r="C50" s="146"/>
      <c r="D50" s="146"/>
      <c r="E50" s="289">
        <f t="shared" si="7"/>
        <v>3.6320999999999999</v>
      </c>
      <c r="F50" s="171">
        <v>2.66</v>
      </c>
      <c r="G50" s="223">
        <f t="shared" si="8"/>
        <v>0.30000000000000004</v>
      </c>
      <c r="H50" s="290">
        <v>0.2</v>
      </c>
      <c r="I50" s="146"/>
      <c r="J50" s="227"/>
      <c r="K50" s="146"/>
      <c r="L50" s="291"/>
      <c r="M50" s="290">
        <v>0.1</v>
      </c>
      <c r="N50" s="227">
        <v>0</v>
      </c>
      <c r="O50" s="146"/>
      <c r="P50" s="227"/>
      <c r="Q50" s="146"/>
      <c r="R50" s="146"/>
      <c r="S50" s="228"/>
      <c r="T50" s="229">
        <f t="shared" si="10"/>
        <v>0.64350000000000007</v>
      </c>
      <c r="U50" s="229">
        <f t="shared" si="11"/>
        <v>2.8600000000000004E-2</v>
      </c>
      <c r="V50" s="229">
        <f t="shared" si="12"/>
        <v>6.5377799999999997</v>
      </c>
      <c r="W50" s="230"/>
      <c r="X50" s="75"/>
      <c r="Y50" s="75"/>
      <c r="Z50" s="181">
        <v>0.01</v>
      </c>
      <c r="AA50" s="181">
        <v>0.24</v>
      </c>
      <c r="AB50" s="181">
        <f t="shared" si="13"/>
        <v>0.25</v>
      </c>
      <c r="AC50" s="97"/>
      <c r="AD50" s="97"/>
    </row>
    <row r="51" spans="1:30" s="24" customFormat="1" ht="21.95" customHeight="1" x14ac:dyDescent="0.3">
      <c r="A51" s="98"/>
      <c r="B51" s="238"/>
      <c r="C51" s="238"/>
      <c r="D51" s="238"/>
      <c r="E51" s="238"/>
      <c r="F51" s="238"/>
      <c r="G51" s="238"/>
      <c r="H51" s="238"/>
      <c r="I51" s="238"/>
      <c r="J51" s="238"/>
      <c r="K51" s="238"/>
      <c r="L51" s="238"/>
      <c r="M51" s="288"/>
      <c r="N51" s="310" t="s">
        <v>261</v>
      </c>
      <c r="O51" s="310"/>
      <c r="P51" s="310"/>
      <c r="Q51" s="310"/>
      <c r="R51" s="310"/>
      <c r="S51" s="310"/>
      <c r="T51" s="310"/>
      <c r="U51" s="310"/>
      <c r="V51" s="310"/>
      <c r="W51" s="310"/>
      <c r="X51" s="70"/>
      <c r="Y51" s="70"/>
      <c r="Z51" s="98"/>
      <c r="AA51" s="98"/>
      <c r="AB51" s="98"/>
      <c r="AC51" s="97"/>
      <c r="AD51" s="97"/>
    </row>
    <row r="52" spans="1:30" s="24" customFormat="1" ht="17.45" customHeight="1" x14ac:dyDescent="0.3">
      <c r="A52" s="98"/>
      <c r="B52" s="239" t="s">
        <v>61</v>
      </c>
      <c r="C52" s="238"/>
      <c r="D52" s="238"/>
      <c r="E52" s="238"/>
      <c r="F52" s="238"/>
      <c r="G52" s="238"/>
      <c r="H52" s="238"/>
      <c r="I52" s="238"/>
      <c r="J52" s="238"/>
      <c r="K52" s="238"/>
      <c r="L52" s="238"/>
      <c r="M52" s="240"/>
      <c r="N52" s="309" t="s">
        <v>71</v>
      </c>
      <c r="O52" s="309"/>
      <c r="P52" s="309"/>
      <c r="Q52" s="309"/>
      <c r="R52" s="309"/>
      <c r="S52" s="309"/>
      <c r="T52" s="309"/>
      <c r="U52" s="309"/>
      <c r="V52" s="309"/>
      <c r="W52" s="309"/>
      <c r="X52" s="70"/>
      <c r="Y52" s="70"/>
      <c r="Z52" s="98"/>
      <c r="AA52" s="98"/>
      <c r="AB52" s="98"/>
      <c r="AC52" s="97"/>
      <c r="AD52" s="97"/>
    </row>
    <row r="53" spans="1:30" ht="12.75" customHeight="1" x14ac:dyDescent="0.3">
      <c r="B53" s="239"/>
      <c r="C53" s="238"/>
      <c r="D53" s="238"/>
      <c r="E53" s="238"/>
      <c r="F53" s="238"/>
      <c r="G53" s="238"/>
      <c r="H53" s="238"/>
      <c r="I53" s="238"/>
      <c r="J53" s="238"/>
      <c r="K53" s="238"/>
      <c r="L53" s="238"/>
      <c r="M53" s="240"/>
      <c r="N53" s="272"/>
      <c r="O53" s="272"/>
      <c r="P53" s="272"/>
      <c r="Q53" s="272"/>
      <c r="R53" s="272"/>
      <c r="S53" s="272"/>
      <c r="T53" s="272"/>
      <c r="U53" s="238"/>
      <c r="AC53" s="97"/>
      <c r="AD53" s="97"/>
    </row>
    <row r="54" spans="1:30" ht="15" customHeight="1" x14ac:dyDescent="0.3">
      <c r="B54" s="239"/>
      <c r="C54" s="238"/>
      <c r="D54" s="238"/>
      <c r="E54" s="238"/>
      <c r="F54" s="238"/>
      <c r="G54" s="238"/>
      <c r="H54" s="238"/>
      <c r="I54" s="238"/>
      <c r="J54" s="238"/>
      <c r="K54" s="238"/>
      <c r="L54" s="238"/>
      <c r="M54" s="240"/>
      <c r="N54" s="272"/>
      <c r="O54" s="272"/>
      <c r="P54" s="272"/>
      <c r="Q54" s="272"/>
      <c r="R54" s="272"/>
      <c r="S54" s="272"/>
      <c r="T54" s="272"/>
      <c r="U54" s="238"/>
      <c r="AC54" s="97"/>
      <c r="AD54" s="97"/>
    </row>
    <row r="55" spans="1:30" ht="15" customHeight="1" x14ac:dyDescent="0.3">
      <c r="B55" s="239"/>
      <c r="C55" s="238"/>
      <c r="D55" s="238"/>
      <c r="E55" s="238"/>
      <c r="F55" s="238"/>
      <c r="G55" s="238"/>
      <c r="H55" s="238"/>
      <c r="I55" s="238"/>
      <c r="J55" s="238"/>
      <c r="K55" s="238"/>
      <c r="L55" s="238"/>
      <c r="M55" s="240"/>
      <c r="N55" s="272"/>
      <c r="O55" s="272"/>
      <c r="P55" s="272"/>
      <c r="Q55" s="272"/>
      <c r="R55" s="272"/>
      <c r="S55" s="272"/>
      <c r="T55" s="272"/>
      <c r="U55" s="238"/>
      <c r="AC55" s="97"/>
      <c r="AD55" s="97"/>
    </row>
    <row r="56" spans="1:30" ht="18.75" x14ac:dyDescent="0.3">
      <c r="B56" s="238"/>
      <c r="C56" s="238"/>
      <c r="D56" s="238"/>
      <c r="E56" s="238"/>
      <c r="F56" s="238"/>
      <c r="G56" s="238"/>
      <c r="H56" s="238"/>
      <c r="I56" s="238"/>
      <c r="J56" s="238"/>
      <c r="K56" s="238"/>
      <c r="L56" s="238"/>
      <c r="M56" s="240"/>
      <c r="N56" s="240"/>
      <c r="O56" s="240"/>
      <c r="P56" s="242"/>
      <c r="Q56" s="240"/>
      <c r="R56" s="238"/>
      <c r="S56" s="238"/>
      <c r="T56" s="238"/>
      <c r="U56" s="238"/>
      <c r="X56" s="77"/>
      <c r="Y56" s="77"/>
      <c r="Z56" s="6"/>
      <c r="AA56" s="6"/>
      <c r="AB56" s="6"/>
      <c r="AC56" s="97"/>
      <c r="AD56" s="97"/>
    </row>
    <row r="57" spans="1:30" ht="18.75" x14ac:dyDescent="0.3">
      <c r="B57" s="272" t="s">
        <v>258</v>
      </c>
      <c r="C57" s="238"/>
      <c r="D57" s="238"/>
      <c r="E57" s="238"/>
      <c r="F57" s="238"/>
      <c r="G57" s="238"/>
      <c r="H57" s="238"/>
      <c r="I57" s="238"/>
      <c r="J57" s="238"/>
      <c r="K57" s="238"/>
      <c r="L57" s="243"/>
      <c r="M57" s="243"/>
      <c r="N57" s="309" t="s">
        <v>219</v>
      </c>
      <c r="O57" s="309"/>
      <c r="P57" s="309"/>
      <c r="Q57" s="309"/>
      <c r="R57" s="309"/>
      <c r="S57" s="309"/>
      <c r="T57" s="309"/>
      <c r="U57" s="309"/>
      <c r="V57" s="309"/>
      <c r="W57" s="309"/>
      <c r="AC57" s="97"/>
      <c r="AD57" s="97"/>
    </row>
    <row r="58" spans="1:30" s="6" customFormat="1" ht="12" customHeight="1" x14ac:dyDescent="0.25">
      <c r="A58" s="98"/>
      <c r="B58" s="98"/>
      <c r="C58" s="98"/>
      <c r="D58" s="98"/>
      <c r="E58" s="98"/>
      <c r="F58" s="98"/>
      <c r="G58" s="98"/>
      <c r="H58" s="98"/>
      <c r="I58" s="98"/>
      <c r="J58" s="98"/>
      <c r="K58" s="98"/>
      <c r="L58" s="5"/>
      <c r="M58" s="5"/>
      <c r="N58" s="5"/>
      <c r="O58" s="5"/>
      <c r="P58" s="5"/>
      <c r="Q58" s="5"/>
      <c r="R58" s="98"/>
      <c r="S58" s="98"/>
      <c r="T58" s="98"/>
      <c r="U58" s="98"/>
      <c r="V58" s="98"/>
      <c r="W58" s="98"/>
      <c r="X58" s="78"/>
      <c r="Y58" s="78"/>
      <c r="Z58" s="97"/>
      <c r="AA58" s="97"/>
      <c r="AB58" s="97"/>
      <c r="AC58" s="97"/>
      <c r="AD58" s="97"/>
    </row>
    <row r="59" spans="1:30" ht="15" x14ac:dyDescent="0.25">
      <c r="X59" s="78"/>
      <c r="Y59" s="78"/>
      <c r="Z59" s="97"/>
      <c r="AA59" s="97"/>
      <c r="AB59" s="97"/>
      <c r="AC59" s="97"/>
      <c r="AD59" s="97"/>
    </row>
    <row r="60" spans="1:30" ht="15" x14ac:dyDescent="0.25">
      <c r="X60" s="78"/>
      <c r="Y60" s="78"/>
      <c r="Z60" s="97"/>
      <c r="AA60" s="97"/>
      <c r="AB60" s="97"/>
      <c r="AC60" s="97"/>
      <c r="AD60" s="97"/>
    </row>
    <row r="61" spans="1:30" ht="15" x14ac:dyDescent="0.25">
      <c r="X61" s="78"/>
      <c r="Y61" s="78"/>
      <c r="Z61" s="97"/>
      <c r="AA61" s="97"/>
      <c r="AB61" s="97"/>
      <c r="AC61" s="97"/>
      <c r="AD61" s="97"/>
    </row>
    <row r="62" spans="1:30" ht="15" x14ac:dyDescent="0.25">
      <c r="X62" s="78"/>
      <c r="Y62" s="78"/>
      <c r="Z62" s="97"/>
      <c r="AA62" s="97"/>
      <c r="AB62" s="97"/>
      <c r="AC62" s="97"/>
      <c r="AD62" s="97"/>
    </row>
    <row r="72" spans="2:2" x14ac:dyDescent="0.2">
      <c r="B72" s="8"/>
    </row>
    <row r="73" spans="2:2" x14ac:dyDescent="0.2">
      <c r="B73" s="8"/>
    </row>
    <row r="74" spans="2:2" x14ac:dyDescent="0.2">
      <c r="B74" s="8"/>
    </row>
  </sheetData>
  <mergeCells count="18">
    <mergeCell ref="N57:W57"/>
    <mergeCell ref="G5:G6"/>
    <mergeCell ref="H5:S5"/>
    <mergeCell ref="T5:T6"/>
    <mergeCell ref="U5:U6"/>
    <mergeCell ref="V4:V6"/>
    <mergeCell ref="W4:W6"/>
    <mergeCell ref="E5:E6"/>
    <mergeCell ref="F5:F6"/>
    <mergeCell ref="A1:E1"/>
    <mergeCell ref="N51:W51"/>
    <mergeCell ref="N52:W52"/>
    <mergeCell ref="A2:W2"/>
    <mergeCell ref="A4:A6"/>
    <mergeCell ref="B4:B6"/>
    <mergeCell ref="C4:C6"/>
    <mergeCell ref="D4:D6"/>
    <mergeCell ref="E4:U4"/>
  </mergeCells>
  <pageMargins left="0" right="0" top="0.39370078740157483" bottom="0.23622047244094491" header="0.23622047244094491" footer="0.31496062992125984"/>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view="pageBreakPreview" topLeftCell="A13" zoomScaleNormal="100" zoomScaleSheetLayoutView="100" workbookViewId="0">
      <selection activeCell="A24" sqref="A24:XFD32"/>
    </sheetView>
  </sheetViews>
  <sheetFormatPr defaultColWidth="11.7109375" defaultRowHeight="15" customHeight="1" zeroHeight="1" x14ac:dyDescent="0.25"/>
  <cols>
    <col min="1" max="1" width="4.7109375" style="197" customWidth="1"/>
    <col min="2" max="2" width="21.85546875" style="197" customWidth="1"/>
    <col min="3" max="3" width="7.140625" style="197" customWidth="1"/>
    <col min="4" max="4" width="6.7109375" style="197" customWidth="1"/>
    <col min="5" max="5" width="5.85546875" style="197" customWidth="1"/>
    <col min="6" max="6" width="5.42578125" style="197" customWidth="1"/>
    <col min="7" max="7" width="5.28515625" style="197" customWidth="1"/>
    <col min="8" max="9" width="5.140625" style="197" customWidth="1"/>
    <col min="10" max="10" width="9.140625" style="197" customWidth="1"/>
    <col min="11" max="11" width="6.7109375" style="197" customWidth="1"/>
    <col min="12" max="12" width="6.140625" style="197" customWidth="1"/>
    <col min="13" max="13" width="5.42578125" style="197" customWidth="1"/>
    <col min="14" max="14" width="5.5703125" style="197" customWidth="1"/>
    <col min="15" max="15" width="5.42578125" style="197" customWidth="1"/>
    <col min="16" max="16" width="4.85546875" style="197" customWidth="1"/>
    <col min="17" max="17" width="8.5703125" style="197" customWidth="1"/>
    <col min="18" max="18" width="9" style="197" customWidth="1"/>
    <col min="19" max="19" width="5.7109375" style="197" customWidth="1"/>
    <col min="20" max="21" width="0" style="197" hidden="1" customWidth="1"/>
    <col min="22" max="16384" width="11.7109375" style="197"/>
  </cols>
  <sheetData>
    <row r="1" spans="1:21" ht="38.450000000000003" customHeight="1" x14ac:dyDescent="0.25">
      <c r="A1" s="328" t="s">
        <v>263</v>
      </c>
      <c r="B1" s="328"/>
      <c r="C1" s="328"/>
      <c r="D1" s="328"/>
      <c r="R1" s="314" t="s">
        <v>195</v>
      </c>
      <c r="S1" s="314"/>
    </row>
    <row r="2" spans="1:21" ht="28.35" customHeight="1" x14ac:dyDescent="0.3">
      <c r="A2" s="315" t="s">
        <v>196</v>
      </c>
      <c r="B2" s="316"/>
      <c r="C2" s="316"/>
      <c r="D2" s="316"/>
      <c r="E2" s="316"/>
      <c r="F2" s="316"/>
      <c r="G2" s="316"/>
      <c r="H2" s="316"/>
      <c r="I2" s="316"/>
      <c r="J2" s="316"/>
      <c r="K2" s="316"/>
      <c r="L2" s="316"/>
      <c r="M2" s="316"/>
      <c r="N2" s="316"/>
      <c r="O2" s="316"/>
      <c r="P2" s="316"/>
      <c r="Q2" s="316"/>
      <c r="R2" s="316"/>
      <c r="S2" s="316"/>
    </row>
    <row r="3" spans="1:21" x14ac:dyDescent="0.25">
      <c r="D3" s="198"/>
      <c r="E3" s="199"/>
      <c r="F3" s="199"/>
      <c r="G3" s="199"/>
      <c r="H3" s="199"/>
      <c r="I3" s="199"/>
    </row>
    <row r="4" spans="1:21" x14ac:dyDescent="0.25"/>
    <row r="5" spans="1:21" ht="20.25" customHeight="1" x14ac:dyDescent="0.25">
      <c r="A5" s="317" t="s">
        <v>90</v>
      </c>
      <c r="B5" s="320" t="s">
        <v>197</v>
      </c>
      <c r="C5" s="323" t="s">
        <v>96</v>
      </c>
      <c r="D5" s="324"/>
      <c r="E5" s="324"/>
      <c r="F5" s="324"/>
      <c r="G5" s="324"/>
      <c r="H5" s="324"/>
      <c r="I5" s="324"/>
      <c r="J5" s="324"/>
      <c r="K5" s="324"/>
      <c r="L5" s="324"/>
      <c r="M5" s="324"/>
      <c r="N5" s="324"/>
      <c r="O5" s="324"/>
      <c r="P5" s="324"/>
      <c r="Q5" s="324"/>
      <c r="R5" s="325"/>
      <c r="S5" s="317" t="s">
        <v>37</v>
      </c>
    </row>
    <row r="6" spans="1:21" ht="20.25" customHeight="1" x14ac:dyDescent="0.25">
      <c r="A6" s="318"/>
      <c r="B6" s="321"/>
      <c r="C6" s="323" t="s">
        <v>198</v>
      </c>
      <c r="D6" s="324"/>
      <c r="E6" s="324"/>
      <c r="F6" s="324"/>
      <c r="G6" s="324"/>
      <c r="H6" s="324"/>
      <c r="I6" s="324"/>
      <c r="J6" s="324"/>
      <c r="K6" s="323" t="s">
        <v>199</v>
      </c>
      <c r="L6" s="324"/>
      <c r="M6" s="324"/>
      <c r="N6" s="324"/>
      <c r="O6" s="324"/>
      <c r="P6" s="324"/>
      <c r="Q6" s="325"/>
      <c r="R6" s="326" t="s">
        <v>213</v>
      </c>
      <c r="S6" s="318"/>
    </row>
    <row r="7" spans="1:21" ht="43.5" customHeight="1" x14ac:dyDescent="0.25">
      <c r="A7" s="319"/>
      <c r="B7" s="322"/>
      <c r="C7" s="216" t="s">
        <v>214</v>
      </c>
      <c r="D7" s="200" t="s">
        <v>200</v>
      </c>
      <c r="E7" s="200" t="s">
        <v>201</v>
      </c>
      <c r="F7" s="200" t="s">
        <v>202</v>
      </c>
      <c r="G7" s="200" t="s">
        <v>203</v>
      </c>
      <c r="H7" s="200" t="s">
        <v>204</v>
      </c>
      <c r="I7" s="200" t="s">
        <v>73</v>
      </c>
      <c r="J7" s="200" t="s">
        <v>212</v>
      </c>
      <c r="K7" s="216" t="s">
        <v>214</v>
      </c>
      <c r="L7" s="200" t="s">
        <v>201</v>
      </c>
      <c r="M7" s="200" t="s">
        <v>202</v>
      </c>
      <c r="N7" s="200" t="s">
        <v>203</v>
      </c>
      <c r="O7" s="200" t="s">
        <v>204</v>
      </c>
      <c r="P7" s="200" t="s">
        <v>73</v>
      </c>
      <c r="Q7" s="200" t="s">
        <v>212</v>
      </c>
      <c r="R7" s="327"/>
      <c r="S7" s="319"/>
      <c r="T7" s="197">
        <v>124</v>
      </c>
    </row>
    <row r="8" spans="1:21" ht="35.450000000000003" customHeight="1" x14ac:dyDescent="0.25">
      <c r="A8" s="201">
        <v>1</v>
      </c>
      <c r="B8" s="202" t="s">
        <v>282</v>
      </c>
      <c r="C8" s="202">
        <f>SUM(C9:C12)</f>
        <v>869</v>
      </c>
      <c r="D8" s="202">
        <f t="shared" ref="D8:R8" si="0">SUM(D9:D12)</f>
        <v>869</v>
      </c>
      <c r="E8" s="202">
        <f t="shared" si="0"/>
        <v>0</v>
      </c>
      <c r="F8" s="202">
        <f t="shared" si="0"/>
        <v>0</v>
      </c>
      <c r="G8" s="202">
        <f t="shared" si="0"/>
        <v>0</v>
      </c>
      <c r="H8" s="202">
        <f t="shared" si="0"/>
        <v>0</v>
      </c>
      <c r="I8" s="202">
        <f t="shared" si="0"/>
        <v>1.2</v>
      </c>
      <c r="J8" s="247">
        <f t="shared" si="0"/>
        <v>1303.5</v>
      </c>
      <c r="K8" s="202">
        <f t="shared" si="0"/>
        <v>880</v>
      </c>
      <c r="L8" s="202">
        <f t="shared" si="0"/>
        <v>880</v>
      </c>
      <c r="M8" s="202">
        <f t="shared" si="0"/>
        <v>0</v>
      </c>
      <c r="N8" s="202">
        <f t="shared" si="0"/>
        <v>0</v>
      </c>
      <c r="O8" s="202">
        <f t="shared" si="0"/>
        <v>0</v>
      </c>
      <c r="P8" s="202">
        <f t="shared" si="0"/>
        <v>0.24</v>
      </c>
      <c r="Q8" s="249">
        <f>SUM(Q9:Q12)</f>
        <v>211.2</v>
      </c>
      <c r="R8" s="249">
        <f t="shared" si="0"/>
        <v>1514.6999999999998</v>
      </c>
      <c r="S8" s="203"/>
      <c r="T8" s="197">
        <v>231</v>
      </c>
    </row>
    <row r="9" spans="1:21" ht="25.5" customHeight="1" x14ac:dyDescent="0.25">
      <c r="A9" s="204">
        <v>1</v>
      </c>
      <c r="B9" s="294" t="s">
        <v>208</v>
      </c>
      <c r="C9" s="244">
        <f>42+46+46+46+46+46</f>
        <v>272</v>
      </c>
      <c r="D9" s="244">
        <v>272</v>
      </c>
      <c r="E9" s="207"/>
      <c r="F9" s="207"/>
      <c r="G9" s="207"/>
      <c r="H9" s="207"/>
      <c r="I9" s="246">
        <v>0.3</v>
      </c>
      <c r="J9" s="248">
        <f t="shared" ref="J9:J12" si="1">(D9*I9*5)+(E9*I9*4)+(F9*I9*3)+(G9*I9*2)+(H9*I9)</f>
        <v>408</v>
      </c>
      <c r="K9" s="206">
        <f>L9</f>
        <v>207</v>
      </c>
      <c r="L9" s="244">
        <v>207</v>
      </c>
      <c r="M9" s="207"/>
      <c r="N9" s="207"/>
      <c r="O9" s="207"/>
      <c r="P9" s="208">
        <v>0.06</v>
      </c>
      <c r="Q9" s="208">
        <f>L9*P9*4</f>
        <v>49.68</v>
      </c>
      <c r="R9" s="248">
        <f t="shared" ref="R9:R12" si="2">J9+Q9</f>
        <v>457.68</v>
      </c>
      <c r="S9" s="203"/>
    </row>
    <row r="10" spans="1:21" ht="25.5" customHeight="1" x14ac:dyDescent="0.25">
      <c r="A10" s="204">
        <v>2</v>
      </c>
      <c r="B10" s="294" t="s">
        <v>209</v>
      </c>
      <c r="C10" s="244">
        <f>41+42+43+41+45</f>
        <v>212</v>
      </c>
      <c r="D10" s="244">
        <v>212</v>
      </c>
      <c r="E10" s="207"/>
      <c r="F10" s="207"/>
      <c r="G10" s="207"/>
      <c r="H10" s="207"/>
      <c r="I10" s="246">
        <v>0.3</v>
      </c>
      <c r="J10" s="248">
        <f t="shared" si="1"/>
        <v>318</v>
      </c>
      <c r="K10" s="206">
        <f t="shared" ref="K10:K12" si="3">L10</f>
        <v>271</v>
      </c>
      <c r="L10" s="244">
        <v>271</v>
      </c>
      <c r="M10" s="207"/>
      <c r="N10" s="207"/>
      <c r="O10" s="207"/>
      <c r="P10" s="208">
        <v>0.06</v>
      </c>
      <c r="Q10" s="208">
        <f t="shared" ref="Q10:Q12" si="4">L10*P10*4</f>
        <v>65.039999999999992</v>
      </c>
      <c r="R10" s="248">
        <f t="shared" si="2"/>
        <v>383.03999999999996</v>
      </c>
      <c r="S10" s="203"/>
    </row>
    <row r="11" spans="1:21" ht="25.5" customHeight="1" x14ac:dyDescent="0.25">
      <c r="A11" s="204">
        <v>3</v>
      </c>
      <c r="B11" s="294" t="s">
        <v>210</v>
      </c>
      <c r="C11" s="244">
        <f>35+35+41+44+36</f>
        <v>191</v>
      </c>
      <c r="D11" s="244">
        <v>191</v>
      </c>
      <c r="E11" s="207"/>
      <c r="F11" s="207"/>
      <c r="G11" s="207"/>
      <c r="H11" s="207"/>
      <c r="I11" s="246">
        <v>0.3</v>
      </c>
      <c r="J11" s="248">
        <f t="shared" si="1"/>
        <v>286.5</v>
      </c>
      <c r="K11" s="206">
        <f t="shared" si="3"/>
        <v>210</v>
      </c>
      <c r="L11" s="244">
        <v>210</v>
      </c>
      <c r="M11" s="208"/>
      <c r="N11" s="208"/>
      <c r="O11" s="208"/>
      <c r="P11" s="208">
        <v>0.06</v>
      </c>
      <c r="Q11" s="208">
        <f t="shared" si="4"/>
        <v>50.4</v>
      </c>
      <c r="R11" s="248">
        <f t="shared" si="2"/>
        <v>336.9</v>
      </c>
      <c r="S11" s="203"/>
    </row>
    <row r="12" spans="1:21" ht="27.75" customHeight="1" x14ac:dyDescent="0.25">
      <c r="A12" s="209">
        <v>4</v>
      </c>
      <c r="B12" s="294" t="s">
        <v>211</v>
      </c>
      <c r="C12" s="244">
        <f>37+37+44+41+35</f>
        <v>194</v>
      </c>
      <c r="D12" s="244">
        <v>194</v>
      </c>
      <c r="E12" s="210"/>
      <c r="F12" s="210"/>
      <c r="G12" s="210"/>
      <c r="H12" s="210"/>
      <c r="I12" s="246">
        <v>0.3</v>
      </c>
      <c r="J12" s="248">
        <f t="shared" si="1"/>
        <v>291</v>
      </c>
      <c r="K12" s="206">
        <f t="shared" si="3"/>
        <v>192</v>
      </c>
      <c r="L12" s="244">
        <v>192</v>
      </c>
      <c r="M12" s="211"/>
      <c r="N12" s="211"/>
      <c r="O12" s="211"/>
      <c r="P12" s="208">
        <v>0.06</v>
      </c>
      <c r="Q12" s="208">
        <f t="shared" si="4"/>
        <v>46.08</v>
      </c>
      <c r="R12" s="248">
        <f t="shared" si="2"/>
        <v>337.08</v>
      </c>
      <c r="S12" s="203"/>
      <c r="U12" s="197">
        <f>880*60000*4</f>
        <v>211200000</v>
      </c>
    </row>
    <row r="13" spans="1:21" s="214" customFormat="1" ht="27" customHeight="1" x14ac:dyDescent="0.3">
      <c r="A13" s="197"/>
      <c r="B13" s="197"/>
      <c r="C13" s="212"/>
      <c r="D13" s="197"/>
      <c r="E13" s="197"/>
      <c r="F13" s="213"/>
      <c r="G13" s="197"/>
      <c r="H13" s="197"/>
      <c r="I13" s="197"/>
      <c r="J13" s="197"/>
      <c r="K13" s="330" t="s">
        <v>283</v>
      </c>
      <c r="L13" s="330"/>
      <c r="M13" s="330"/>
      <c r="N13" s="330"/>
      <c r="O13" s="330"/>
      <c r="P13" s="330"/>
      <c r="Q13" s="330"/>
      <c r="R13" s="330"/>
      <c r="S13" s="330"/>
      <c r="U13" s="268">
        <f>J8+Q8</f>
        <v>1514.7</v>
      </c>
    </row>
    <row r="14" spans="1:21" s="215" customFormat="1" ht="18.75" x14ac:dyDescent="0.3">
      <c r="A14" s="329" t="s">
        <v>61</v>
      </c>
      <c r="B14" s="329"/>
      <c r="C14" s="329"/>
      <c r="D14" s="329"/>
      <c r="E14" s="329"/>
      <c r="F14" s="214"/>
      <c r="G14" s="214"/>
      <c r="H14" s="214"/>
      <c r="I14" s="214"/>
      <c r="J14" s="214"/>
      <c r="K14" s="329" t="s">
        <v>71</v>
      </c>
      <c r="L14" s="329"/>
      <c r="M14" s="329"/>
      <c r="N14" s="329"/>
      <c r="O14" s="329"/>
      <c r="P14" s="329"/>
      <c r="Q14" s="329"/>
      <c r="R14" s="329"/>
    </row>
    <row r="15" spans="1:21" s="215" customFormat="1" ht="18.75" x14ac:dyDescent="0.3"/>
    <row r="16" spans="1:21" s="215" customFormat="1" ht="18.75" x14ac:dyDescent="0.3"/>
    <row r="17" spans="1:18" s="215" customFormat="1" ht="18.75" x14ac:dyDescent="0.3"/>
    <row r="18" spans="1:18" ht="18.75" x14ac:dyDescent="0.3">
      <c r="A18" s="215"/>
      <c r="B18" s="316"/>
      <c r="C18" s="316"/>
      <c r="D18" s="316"/>
      <c r="E18" s="316"/>
      <c r="F18" s="215"/>
      <c r="G18" s="215"/>
      <c r="H18" s="215"/>
      <c r="I18" s="215"/>
      <c r="J18" s="215"/>
      <c r="K18" s="215"/>
      <c r="L18" s="215"/>
      <c r="M18" s="215"/>
      <c r="N18" s="215"/>
      <c r="O18" s="215"/>
      <c r="P18" s="215"/>
      <c r="Q18" s="215"/>
    </row>
    <row r="19" spans="1:18" x14ac:dyDescent="0.25"/>
    <row r="20" spans="1:18" ht="18.75" x14ac:dyDescent="0.3">
      <c r="A20" s="316" t="s">
        <v>258</v>
      </c>
      <c r="B20" s="316"/>
      <c r="C20" s="316"/>
      <c r="D20" s="316"/>
      <c r="E20" s="316"/>
      <c r="K20" s="316" t="s">
        <v>219</v>
      </c>
      <c r="L20" s="316"/>
      <c r="M20" s="316"/>
      <c r="N20" s="316"/>
      <c r="O20" s="316"/>
      <c r="P20" s="316"/>
      <c r="Q20" s="316"/>
      <c r="R20" s="316"/>
    </row>
    <row r="21" spans="1:18" x14ac:dyDescent="0.25"/>
    <row r="22" spans="1:18" x14ac:dyDescent="0.25"/>
    <row r="23" spans="1:18" x14ac:dyDescent="0.25"/>
    <row r="24" spans="1:18" hidden="1" x14ac:dyDescent="0.25"/>
    <row r="25" spans="1:18" hidden="1" x14ac:dyDescent="0.25"/>
    <row r="26" spans="1:18" hidden="1" x14ac:dyDescent="0.25"/>
    <row r="27" spans="1:18" hidden="1" x14ac:dyDescent="0.25"/>
    <row r="28" spans="1:18" hidden="1" x14ac:dyDescent="0.25"/>
    <row r="29" spans="1:18" hidden="1" x14ac:dyDescent="0.25"/>
    <row r="30" spans="1:18" hidden="1" x14ac:dyDescent="0.25"/>
    <row r="31" spans="1:18" hidden="1" x14ac:dyDescent="0.25"/>
    <row r="32" spans="1:18" hidden="1"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5" x14ac:dyDescent="0.25"/>
  </sheetData>
  <mergeCells count="16">
    <mergeCell ref="A20:E20"/>
    <mergeCell ref="K20:R20"/>
    <mergeCell ref="K14:R14"/>
    <mergeCell ref="K13:S13"/>
    <mergeCell ref="B18:E18"/>
    <mergeCell ref="A14:E14"/>
    <mergeCell ref="R1:S1"/>
    <mergeCell ref="A2:S2"/>
    <mergeCell ref="A5:A7"/>
    <mergeCell ref="B5:B7"/>
    <mergeCell ref="C5:R5"/>
    <mergeCell ref="S5:S7"/>
    <mergeCell ref="C6:J6"/>
    <mergeCell ref="K6:Q6"/>
    <mergeCell ref="R6:R7"/>
    <mergeCell ref="A1:D1"/>
  </mergeCells>
  <dataValidations count="1">
    <dataValidation type="custom" showInputMessage="1" showErrorMessage="1" errorTitle="Lỗi" error="Nhập Khối nhóm/lớp" sqref="J30 B30:B33 H30 L30:L31">
      <formula1>LEN($A30)&gt;0</formula1>
    </dataValidation>
  </dataValidations>
  <pageMargins left="0" right="0"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view="pageBreakPreview" topLeftCell="A4" zoomScaleNormal="100" zoomScaleSheetLayoutView="100" workbookViewId="0">
      <selection activeCell="T1" sqref="T1:V1048576"/>
    </sheetView>
  </sheetViews>
  <sheetFormatPr defaultColWidth="11.7109375" defaultRowHeight="15" customHeight="1" zeroHeight="1" x14ac:dyDescent="0.25"/>
  <cols>
    <col min="1" max="1" width="4.7109375" style="197" customWidth="1"/>
    <col min="2" max="2" width="15.28515625" style="197" customWidth="1"/>
    <col min="3" max="3" width="7.140625" style="197" customWidth="1"/>
    <col min="4" max="4" width="6.7109375" style="197" customWidth="1"/>
    <col min="5" max="6" width="6.85546875" style="197" customWidth="1"/>
    <col min="7" max="7" width="6.7109375" style="197" customWidth="1"/>
    <col min="8" max="8" width="6.140625" style="197" customWidth="1"/>
    <col min="9" max="9" width="5.85546875" style="197" customWidth="1"/>
    <col min="10" max="10" width="7.85546875" style="197" customWidth="1"/>
    <col min="11" max="11" width="8.42578125" style="197" customWidth="1"/>
    <col min="12" max="12" width="6.140625" style="197" customWidth="1"/>
    <col min="13" max="13" width="6.28515625" style="197" customWidth="1"/>
    <col min="14" max="14" width="7" style="197" customWidth="1"/>
    <col min="15" max="15" width="6.5703125" style="197" customWidth="1"/>
    <col min="16" max="16" width="5.85546875" style="197" customWidth="1"/>
    <col min="17" max="17" width="8.7109375" style="197" customWidth="1"/>
    <col min="18" max="18" width="9" style="197" customWidth="1"/>
    <col min="19" max="19" width="7.140625" style="197" customWidth="1"/>
    <col min="20" max="22" width="0" style="197" hidden="1" customWidth="1"/>
    <col min="23" max="16384" width="11.7109375" style="197"/>
  </cols>
  <sheetData>
    <row r="1" spans="1:22" ht="33" customHeight="1" x14ac:dyDescent="0.25">
      <c r="A1" s="328" t="s">
        <v>263</v>
      </c>
      <c r="B1" s="328"/>
      <c r="C1" s="328"/>
      <c r="D1" s="328"/>
      <c r="R1" s="314" t="s">
        <v>195</v>
      </c>
      <c r="S1" s="314"/>
    </row>
    <row r="2" spans="1:22" ht="28.35" customHeight="1" x14ac:dyDescent="0.3">
      <c r="A2" s="315" t="s">
        <v>206</v>
      </c>
      <c r="B2" s="316"/>
      <c r="C2" s="316"/>
      <c r="D2" s="316"/>
      <c r="E2" s="316"/>
      <c r="F2" s="316"/>
      <c r="G2" s="316"/>
      <c r="H2" s="316"/>
      <c r="I2" s="316"/>
      <c r="J2" s="316"/>
      <c r="K2" s="316"/>
      <c r="L2" s="316"/>
      <c r="M2" s="316"/>
      <c r="N2" s="316"/>
      <c r="O2" s="316"/>
      <c r="P2" s="316"/>
      <c r="Q2" s="316"/>
      <c r="R2" s="316"/>
      <c r="S2" s="316"/>
    </row>
    <row r="3" spans="1:22" x14ac:dyDescent="0.25">
      <c r="D3" s="198"/>
      <c r="E3" s="199"/>
      <c r="F3" s="199"/>
      <c r="G3" s="199"/>
      <c r="H3" s="199"/>
      <c r="I3" s="199"/>
    </row>
    <row r="4" spans="1:22" x14ac:dyDescent="0.25"/>
    <row r="5" spans="1:22" ht="20.25" customHeight="1" x14ac:dyDescent="0.25">
      <c r="A5" s="317" t="s">
        <v>90</v>
      </c>
      <c r="B5" s="320" t="s">
        <v>197</v>
      </c>
      <c r="C5" s="323" t="s">
        <v>95</v>
      </c>
      <c r="D5" s="324"/>
      <c r="E5" s="324"/>
      <c r="F5" s="324"/>
      <c r="G5" s="324"/>
      <c r="H5" s="324"/>
      <c r="I5" s="324"/>
      <c r="J5" s="324"/>
      <c r="K5" s="324"/>
      <c r="L5" s="324"/>
      <c r="M5" s="324"/>
      <c r="N5" s="324"/>
      <c r="O5" s="324"/>
      <c r="P5" s="324"/>
      <c r="Q5" s="324"/>
      <c r="R5" s="325"/>
      <c r="S5" s="317" t="s">
        <v>37</v>
      </c>
    </row>
    <row r="6" spans="1:22" ht="20.25" customHeight="1" x14ac:dyDescent="0.25">
      <c r="A6" s="318"/>
      <c r="B6" s="321"/>
      <c r="C6" s="323" t="s">
        <v>207</v>
      </c>
      <c r="D6" s="324"/>
      <c r="E6" s="324"/>
      <c r="F6" s="324"/>
      <c r="G6" s="324"/>
      <c r="H6" s="324"/>
      <c r="I6" s="324"/>
      <c r="J6" s="324"/>
      <c r="K6" s="323" t="s">
        <v>193</v>
      </c>
      <c r="L6" s="324"/>
      <c r="M6" s="324"/>
      <c r="N6" s="324"/>
      <c r="O6" s="324"/>
      <c r="P6" s="324"/>
      <c r="Q6" s="325"/>
      <c r="R6" s="326" t="s">
        <v>215</v>
      </c>
      <c r="S6" s="318"/>
    </row>
    <row r="7" spans="1:22" ht="43.5" customHeight="1" x14ac:dyDescent="0.25">
      <c r="A7" s="319"/>
      <c r="B7" s="322"/>
      <c r="C7" s="216" t="s">
        <v>214</v>
      </c>
      <c r="D7" s="200" t="s">
        <v>200</v>
      </c>
      <c r="E7" s="200" t="s">
        <v>201</v>
      </c>
      <c r="F7" s="200" t="s">
        <v>202</v>
      </c>
      <c r="G7" s="200" t="s">
        <v>203</v>
      </c>
      <c r="H7" s="200" t="s">
        <v>204</v>
      </c>
      <c r="I7" s="200" t="s">
        <v>216</v>
      </c>
      <c r="J7" s="200" t="s">
        <v>212</v>
      </c>
      <c r="K7" s="216" t="s">
        <v>214</v>
      </c>
      <c r="L7" s="200" t="s">
        <v>201</v>
      </c>
      <c r="M7" s="200" t="s">
        <v>202</v>
      </c>
      <c r="N7" s="200" t="s">
        <v>203</v>
      </c>
      <c r="O7" s="200" t="s">
        <v>204</v>
      </c>
      <c r="P7" s="200" t="s">
        <v>216</v>
      </c>
      <c r="Q7" s="200" t="s">
        <v>212</v>
      </c>
      <c r="R7" s="327"/>
      <c r="S7" s="319"/>
      <c r="T7" s="197">
        <v>124</v>
      </c>
    </row>
    <row r="8" spans="1:22" ht="24.75" customHeight="1" x14ac:dyDescent="0.25">
      <c r="A8" s="201">
        <v>1</v>
      </c>
      <c r="B8" s="202" t="s">
        <v>205</v>
      </c>
      <c r="C8" s="202">
        <f>SUM(C9:C12)</f>
        <v>880</v>
      </c>
      <c r="D8" s="202">
        <f t="shared" ref="D8:R8" si="0">SUM(D9:D12)</f>
        <v>880</v>
      </c>
      <c r="E8" s="202">
        <f t="shared" si="0"/>
        <v>0</v>
      </c>
      <c r="F8" s="202">
        <f t="shared" si="0"/>
        <v>0</v>
      </c>
      <c r="G8" s="202">
        <f t="shared" si="0"/>
        <v>0</v>
      </c>
      <c r="H8" s="202">
        <f t="shared" si="0"/>
        <v>0</v>
      </c>
      <c r="I8" s="202">
        <f t="shared" si="0"/>
        <v>0.24</v>
      </c>
      <c r="J8" s="250">
        <f t="shared" si="0"/>
        <v>264</v>
      </c>
      <c r="K8" s="202">
        <f t="shared" si="0"/>
        <v>892</v>
      </c>
      <c r="L8" s="202">
        <f t="shared" si="0"/>
        <v>892</v>
      </c>
      <c r="M8" s="202">
        <f t="shared" si="0"/>
        <v>0</v>
      </c>
      <c r="N8" s="202">
        <f t="shared" si="0"/>
        <v>0</v>
      </c>
      <c r="O8" s="202">
        <f t="shared" si="0"/>
        <v>0</v>
      </c>
      <c r="P8" s="202">
        <f t="shared" si="0"/>
        <v>0.24</v>
      </c>
      <c r="Q8" s="249">
        <f t="shared" si="0"/>
        <v>214.08</v>
      </c>
      <c r="R8" s="249">
        <f t="shared" si="0"/>
        <v>478.08</v>
      </c>
      <c r="S8" s="203"/>
      <c r="T8" s="197">
        <v>231</v>
      </c>
    </row>
    <row r="9" spans="1:22" ht="25.5" customHeight="1" x14ac:dyDescent="0.25">
      <c r="A9" s="204"/>
      <c r="B9" s="205" t="s">
        <v>208</v>
      </c>
      <c r="C9" s="206">
        <f>D9</f>
        <v>207</v>
      </c>
      <c r="D9" s="244">
        <v>207</v>
      </c>
      <c r="E9" s="207"/>
      <c r="F9" s="207"/>
      <c r="G9" s="207"/>
      <c r="H9" s="207"/>
      <c r="I9" s="245">
        <v>0.06</v>
      </c>
      <c r="J9" s="248">
        <f t="shared" ref="J9:J12" si="1">(D9*I9*5)+(E9*I9*4)+(F9*I9*3)+(G9*I9*2)+(H9*I9)</f>
        <v>62.1</v>
      </c>
      <c r="K9" s="206">
        <f>L9</f>
        <v>204</v>
      </c>
      <c r="L9" s="206">
        <v>204</v>
      </c>
      <c r="M9" s="207"/>
      <c r="N9" s="207"/>
      <c r="O9" s="207"/>
      <c r="P9" s="208">
        <v>0.06</v>
      </c>
      <c r="Q9" s="208">
        <f>K9*P9*4</f>
        <v>48.96</v>
      </c>
      <c r="R9" s="248">
        <f t="shared" ref="R9:R12" si="2">J9+Q9</f>
        <v>111.06</v>
      </c>
      <c r="S9" s="203"/>
    </row>
    <row r="10" spans="1:22" ht="25.5" customHeight="1" x14ac:dyDescent="0.25">
      <c r="A10" s="204"/>
      <c r="B10" s="205" t="s">
        <v>209</v>
      </c>
      <c r="C10" s="206">
        <f t="shared" ref="C10:C12" si="3">D10</f>
        <v>271</v>
      </c>
      <c r="D10" s="244">
        <v>271</v>
      </c>
      <c r="E10" s="207"/>
      <c r="F10" s="207"/>
      <c r="G10" s="207"/>
      <c r="H10" s="207"/>
      <c r="I10" s="245">
        <v>0.06</v>
      </c>
      <c r="J10" s="248">
        <f t="shared" si="1"/>
        <v>81.299999999999983</v>
      </c>
      <c r="K10" s="206">
        <f t="shared" ref="K10:K12" si="4">L10</f>
        <v>207</v>
      </c>
      <c r="L10" s="206">
        <v>207</v>
      </c>
      <c r="M10" s="207"/>
      <c r="N10" s="207"/>
      <c r="O10" s="207"/>
      <c r="P10" s="208">
        <v>0.06</v>
      </c>
      <c r="Q10" s="208">
        <f t="shared" ref="Q10:Q12" si="5">K10*P10*4</f>
        <v>49.68</v>
      </c>
      <c r="R10" s="248">
        <f t="shared" si="2"/>
        <v>130.97999999999999</v>
      </c>
      <c r="S10" s="203"/>
      <c r="V10" s="212">
        <f>D8*0.06*5</f>
        <v>264</v>
      </c>
    </row>
    <row r="11" spans="1:22" ht="25.5" customHeight="1" x14ac:dyDescent="0.25">
      <c r="A11" s="204"/>
      <c r="B11" s="205" t="s">
        <v>210</v>
      </c>
      <c r="C11" s="206">
        <f t="shared" si="3"/>
        <v>210</v>
      </c>
      <c r="D11" s="244">
        <v>210</v>
      </c>
      <c r="E11" s="207"/>
      <c r="F11" s="207"/>
      <c r="G11" s="207"/>
      <c r="H11" s="207"/>
      <c r="I11" s="245">
        <v>0.06</v>
      </c>
      <c r="J11" s="248">
        <f t="shared" si="1"/>
        <v>63</v>
      </c>
      <c r="K11" s="206">
        <f t="shared" si="4"/>
        <v>271</v>
      </c>
      <c r="L11" s="206">
        <v>271</v>
      </c>
      <c r="M11" s="208"/>
      <c r="N11" s="208"/>
      <c r="O11" s="208"/>
      <c r="P11" s="208">
        <v>0.06</v>
      </c>
      <c r="Q11" s="208">
        <f t="shared" si="5"/>
        <v>65.039999999999992</v>
      </c>
      <c r="R11" s="248">
        <f t="shared" si="2"/>
        <v>128.04</v>
      </c>
      <c r="S11" s="203"/>
    </row>
    <row r="12" spans="1:22" ht="27.75" customHeight="1" x14ac:dyDescent="0.25">
      <c r="A12" s="209"/>
      <c r="B12" s="205" t="s">
        <v>211</v>
      </c>
      <c r="C12" s="206">
        <f t="shared" si="3"/>
        <v>192</v>
      </c>
      <c r="D12" s="244">
        <v>192</v>
      </c>
      <c r="E12" s="210"/>
      <c r="F12" s="210"/>
      <c r="G12" s="210"/>
      <c r="H12" s="210"/>
      <c r="I12" s="245">
        <v>0.06</v>
      </c>
      <c r="J12" s="248">
        <f t="shared" si="1"/>
        <v>57.599999999999994</v>
      </c>
      <c r="K12" s="206">
        <f t="shared" si="4"/>
        <v>210</v>
      </c>
      <c r="L12" s="206">
        <v>210</v>
      </c>
      <c r="M12" s="211"/>
      <c r="N12" s="211"/>
      <c r="O12" s="211"/>
      <c r="P12" s="208">
        <v>0.06</v>
      </c>
      <c r="Q12" s="208">
        <f t="shared" si="5"/>
        <v>50.4</v>
      </c>
      <c r="R12" s="248">
        <f t="shared" si="2"/>
        <v>108</v>
      </c>
      <c r="S12" s="203"/>
    </row>
    <row r="13" spans="1:22" s="214" customFormat="1" ht="27" customHeight="1" x14ac:dyDescent="0.3">
      <c r="A13" s="197"/>
      <c r="B13" s="197"/>
      <c r="C13" s="212"/>
      <c r="D13" s="197"/>
      <c r="E13" s="197"/>
      <c r="F13" s="213"/>
      <c r="G13" s="197"/>
      <c r="H13" s="197"/>
      <c r="I13" s="197"/>
      <c r="J13" s="197"/>
      <c r="K13" s="330" t="s">
        <v>283</v>
      </c>
      <c r="L13" s="330"/>
      <c r="M13" s="330"/>
      <c r="N13" s="330"/>
      <c r="O13" s="330"/>
      <c r="P13" s="330"/>
      <c r="Q13" s="330"/>
      <c r="R13" s="330"/>
      <c r="S13" s="330"/>
    </row>
    <row r="14" spans="1:22" s="215" customFormat="1" ht="18.75" x14ac:dyDescent="0.3">
      <c r="A14" s="329" t="s">
        <v>61</v>
      </c>
      <c r="B14" s="329"/>
      <c r="C14" s="329"/>
      <c r="D14" s="329"/>
      <c r="E14" s="329"/>
      <c r="F14" s="214"/>
      <c r="G14" s="214"/>
      <c r="H14" s="214"/>
      <c r="I14" s="214"/>
      <c r="J14" s="214"/>
      <c r="K14" s="329" t="s">
        <v>71</v>
      </c>
      <c r="L14" s="329"/>
      <c r="M14" s="329"/>
      <c r="N14" s="329"/>
      <c r="O14" s="329"/>
      <c r="P14" s="329"/>
      <c r="Q14" s="329"/>
      <c r="R14" s="329"/>
    </row>
    <row r="15" spans="1:22" s="215" customFormat="1" ht="18.75" x14ac:dyDescent="0.3"/>
    <row r="16" spans="1:22" s="215" customFormat="1" ht="18.75" x14ac:dyDescent="0.3"/>
    <row r="17" spans="1:18" s="215" customFormat="1" ht="15.6" customHeight="1" x14ac:dyDescent="0.3"/>
    <row r="18" spans="1:18" ht="15.6" customHeight="1" x14ac:dyDescent="0.3">
      <c r="A18" s="215"/>
      <c r="B18" s="316"/>
      <c r="C18" s="316"/>
      <c r="D18" s="316"/>
      <c r="E18" s="316"/>
      <c r="F18" s="215"/>
      <c r="G18" s="215"/>
      <c r="H18" s="215"/>
      <c r="I18" s="215"/>
      <c r="J18" s="215"/>
      <c r="K18" s="215"/>
      <c r="L18" s="215"/>
      <c r="M18" s="215"/>
      <c r="N18" s="215"/>
      <c r="O18" s="215"/>
      <c r="P18" s="215"/>
      <c r="Q18" s="215"/>
    </row>
    <row r="19" spans="1:18" ht="15.6" customHeight="1" x14ac:dyDescent="0.25"/>
    <row r="20" spans="1:18" ht="15.6" customHeight="1" x14ac:dyDescent="0.3">
      <c r="A20" s="316" t="s">
        <v>258</v>
      </c>
      <c r="B20" s="316"/>
      <c r="C20" s="316"/>
      <c r="D20" s="316"/>
      <c r="E20" s="316"/>
      <c r="K20" s="316" t="s">
        <v>219</v>
      </c>
      <c r="L20" s="316"/>
      <c r="M20" s="316"/>
      <c r="N20" s="316"/>
      <c r="O20" s="316"/>
      <c r="P20" s="316"/>
      <c r="Q20" s="316"/>
      <c r="R20" s="316"/>
    </row>
    <row r="21" spans="1:18" ht="15.6" customHeight="1" x14ac:dyDescent="0.25"/>
    <row r="22" spans="1:18" ht="15.6" customHeight="1" x14ac:dyDescent="0.25"/>
    <row r="23" spans="1:18" ht="0" hidden="1" customHeight="1" x14ac:dyDescent="0.25"/>
    <row r="24" spans="1:18" ht="15.6" customHeight="1" x14ac:dyDescent="0.25"/>
    <row r="25" spans="1:18" ht="0" hidden="1" customHeight="1" x14ac:dyDescent="0.25"/>
    <row r="26" spans="1:18" ht="0" hidden="1" customHeight="1" x14ac:dyDescent="0.25"/>
    <row r="27" spans="1:18" ht="0" hidden="1" customHeight="1" x14ac:dyDescent="0.25"/>
    <row r="28" spans="1:18" ht="0" hidden="1" customHeight="1" x14ac:dyDescent="0.25"/>
    <row r="29" spans="1:18" ht="0" hidden="1" customHeight="1" x14ac:dyDescent="0.25"/>
    <row r="30" spans="1:18" ht="0" hidden="1" customHeight="1" x14ac:dyDescent="0.25"/>
    <row r="31" spans="1:18" ht="0" hidden="1" customHeight="1" x14ac:dyDescent="0.25"/>
    <row r="32" spans="1:18" ht="0" hidden="1" customHeight="1" x14ac:dyDescent="0.25"/>
    <row r="33" ht="0" hidden="1" customHeight="1" x14ac:dyDescent="0.25"/>
    <row r="34" ht="0" hidden="1" customHeight="1" x14ac:dyDescent="0.25"/>
    <row r="35" ht="0" hidden="1" customHeight="1" x14ac:dyDescent="0.25"/>
    <row r="36" ht="0" hidden="1" customHeight="1" x14ac:dyDescent="0.25"/>
    <row r="37" ht="0" hidden="1" customHeight="1" x14ac:dyDescent="0.25"/>
    <row r="38" ht="0" hidden="1" customHeight="1" x14ac:dyDescent="0.25"/>
    <row r="39" ht="0" hidden="1" customHeight="1" x14ac:dyDescent="0.25"/>
    <row r="40" ht="0" hidden="1" customHeight="1" x14ac:dyDescent="0.25"/>
    <row r="41" ht="0" hidden="1" customHeight="1" x14ac:dyDescent="0.25"/>
    <row r="42" ht="0" hidden="1" customHeight="1" x14ac:dyDescent="0.25"/>
    <row r="43" ht="0" hidden="1" customHeight="1" x14ac:dyDescent="0.25"/>
    <row r="45" ht="0" hidden="1" customHeight="1" x14ac:dyDescent="0.25"/>
  </sheetData>
  <mergeCells count="16">
    <mergeCell ref="R1:S1"/>
    <mergeCell ref="A2:S2"/>
    <mergeCell ref="S5:S7"/>
    <mergeCell ref="A1:D1"/>
    <mergeCell ref="A20:E20"/>
    <mergeCell ref="K20:R20"/>
    <mergeCell ref="B18:E18"/>
    <mergeCell ref="A5:A7"/>
    <mergeCell ref="B5:B7"/>
    <mergeCell ref="C5:R5"/>
    <mergeCell ref="C6:J6"/>
    <mergeCell ref="K6:Q6"/>
    <mergeCell ref="R6:R7"/>
    <mergeCell ref="K13:S13"/>
    <mergeCell ref="A14:E14"/>
    <mergeCell ref="K14:R14"/>
  </mergeCells>
  <dataValidations count="1">
    <dataValidation type="custom" showInputMessage="1" showErrorMessage="1" errorTitle="Lỗi" error="Nhập Khối nhóm/lớp" sqref="J30 B30:B33 H30 L30:L31">
      <formula1>LEN($A30)&gt;0</formula1>
    </dataValidation>
  </dataValidations>
  <pageMargins left="0" right="0" top="0.4"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view="pageBreakPreview" topLeftCell="A70" zoomScaleNormal="76" zoomScaleSheetLayoutView="100" workbookViewId="0">
      <selection activeCell="F1" sqref="F1:AG1048576"/>
    </sheetView>
  </sheetViews>
  <sheetFormatPr defaultColWidth="9.140625" defaultRowHeight="15.75" x14ac:dyDescent="0.25"/>
  <cols>
    <col min="1" max="1" width="6" style="1" customWidth="1"/>
    <col min="2" max="2" width="78.7109375" style="1" customWidth="1"/>
    <col min="3" max="3" width="18.85546875" style="1" customWidth="1"/>
    <col min="4" max="5" width="19.7109375" style="3" customWidth="1"/>
    <col min="6" max="6" width="26.5703125" style="1" hidden="1" customWidth="1"/>
    <col min="7" max="7" width="14" style="1" hidden="1" customWidth="1"/>
    <col min="8" max="8" width="17.7109375" style="1" hidden="1" customWidth="1"/>
    <col min="9" max="9" width="9.85546875" style="1" hidden="1" customWidth="1"/>
    <col min="10" max="11" width="0" style="1" hidden="1" customWidth="1"/>
    <col min="12" max="12" width="10.42578125" style="1" hidden="1" customWidth="1"/>
    <col min="13" max="33" width="0" style="1" hidden="1" customWidth="1"/>
    <col min="34" max="16384" width="9.140625" style="1"/>
  </cols>
  <sheetData>
    <row r="1" spans="1:8" x14ac:dyDescent="0.25">
      <c r="A1" s="333" t="s">
        <v>91</v>
      </c>
      <c r="B1" s="333"/>
      <c r="C1" s="334" t="s">
        <v>84</v>
      </c>
      <c r="D1" s="334"/>
      <c r="E1" s="334"/>
    </row>
    <row r="2" spans="1:8" x14ac:dyDescent="0.25">
      <c r="A2" s="2" t="s">
        <v>280</v>
      </c>
    </row>
    <row r="3" spans="1:8" x14ac:dyDescent="0.25">
      <c r="A3" s="2"/>
    </row>
    <row r="4" spans="1:8" ht="18.75" x14ac:dyDescent="0.3">
      <c r="A4" s="335" t="s">
        <v>217</v>
      </c>
      <c r="B4" s="335"/>
      <c r="C4" s="335"/>
      <c r="D4" s="335"/>
      <c r="E4" s="335"/>
    </row>
    <row r="5" spans="1:8" ht="20.45" customHeight="1" x14ac:dyDescent="0.25">
      <c r="A5" s="336" t="s">
        <v>281</v>
      </c>
      <c r="B5" s="336"/>
      <c r="C5" s="336"/>
      <c r="D5" s="336"/>
      <c r="E5" s="336"/>
    </row>
    <row r="6" spans="1:8" ht="18" customHeight="1" x14ac:dyDescent="0.25">
      <c r="D6" s="337" t="s">
        <v>83</v>
      </c>
      <c r="E6" s="337"/>
    </row>
    <row r="7" spans="1:8" ht="19.149999999999999" customHeight="1" x14ac:dyDescent="0.25">
      <c r="A7" s="331" t="s">
        <v>90</v>
      </c>
      <c r="B7" s="331" t="s">
        <v>1</v>
      </c>
      <c r="C7" s="332" t="s">
        <v>218</v>
      </c>
      <c r="D7" s="332"/>
      <c r="E7" s="332"/>
      <c r="F7" s="341"/>
    </row>
    <row r="8" spans="1:8" ht="23.45" customHeight="1" x14ac:dyDescent="0.25">
      <c r="A8" s="331"/>
      <c r="B8" s="331"/>
      <c r="C8" s="331" t="s">
        <v>82</v>
      </c>
      <c r="D8" s="331" t="s">
        <v>96</v>
      </c>
      <c r="E8" s="331" t="s">
        <v>95</v>
      </c>
      <c r="F8" s="341"/>
    </row>
    <row r="9" spans="1:8" ht="9" customHeight="1" x14ac:dyDescent="0.25">
      <c r="A9" s="331"/>
      <c r="B9" s="331"/>
      <c r="C9" s="342"/>
      <c r="D9" s="342"/>
      <c r="E9" s="342"/>
      <c r="F9" s="341"/>
    </row>
    <row r="10" spans="1:8" s="2" customFormat="1" ht="18" customHeight="1" x14ac:dyDescent="0.25">
      <c r="A10" s="41" t="s">
        <v>2</v>
      </c>
      <c r="B10" s="42" t="s">
        <v>3</v>
      </c>
      <c r="C10" s="43">
        <f>C11+C19+C20+C21+C22</f>
        <v>2253.8999999999996</v>
      </c>
      <c r="D10" s="43">
        <f>D11+D19+D20+D21+D22</f>
        <v>1514.7</v>
      </c>
      <c r="E10" s="43">
        <f>E11+E19+E20+E21+E22</f>
        <v>478.08000000000004</v>
      </c>
    </row>
    <row r="11" spans="1:8" ht="22.9" customHeight="1" x14ac:dyDescent="0.25">
      <c r="A11" s="46">
        <v>1</v>
      </c>
      <c r="B11" s="47" t="s">
        <v>4</v>
      </c>
      <c r="C11" s="48">
        <f t="shared" ref="C11:E11" si="0">C12+C13</f>
        <v>2253.8999999999996</v>
      </c>
      <c r="D11" s="48">
        <f t="shared" si="0"/>
        <v>1514.7</v>
      </c>
      <c r="E11" s="48">
        <f t="shared" si="0"/>
        <v>478.08000000000004</v>
      </c>
    </row>
    <row r="12" spans="1:8" ht="22.9" customHeight="1" x14ac:dyDescent="0.25">
      <c r="A12" s="46" t="s">
        <v>5</v>
      </c>
      <c r="B12" s="47" t="s">
        <v>7</v>
      </c>
      <c r="C12" s="49"/>
      <c r="D12" s="48"/>
      <c r="E12" s="48"/>
    </row>
    <row r="13" spans="1:8" ht="22.9" customHeight="1" x14ac:dyDescent="0.25">
      <c r="A13" s="46" t="s">
        <v>6</v>
      </c>
      <c r="B13" s="47" t="s">
        <v>65</v>
      </c>
      <c r="C13" s="49">
        <f>SUM(C14:C18)</f>
        <v>2253.8999999999996</v>
      </c>
      <c r="D13" s="49">
        <f t="shared" ref="D13:E13" si="1">SUM(D14:D18)</f>
        <v>1514.7</v>
      </c>
      <c r="E13" s="49">
        <f t="shared" si="1"/>
        <v>478.08000000000004</v>
      </c>
      <c r="F13" s="14"/>
    </row>
    <row r="14" spans="1:8" s="17" customFormat="1" ht="21" customHeight="1" x14ac:dyDescent="0.25">
      <c r="A14" s="46"/>
      <c r="B14" s="47" t="s">
        <v>85</v>
      </c>
      <c r="C14" s="49">
        <f>867*1.2</f>
        <v>1040.3999999999999</v>
      </c>
      <c r="D14" s="49">
        <v>1514.7</v>
      </c>
      <c r="E14" s="183">
        <v>264</v>
      </c>
      <c r="H14" s="178"/>
    </row>
    <row r="15" spans="1:8" s="17" customFormat="1" ht="21" customHeight="1" x14ac:dyDescent="0.25">
      <c r="A15" s="46"/>
      <c r="B15" s="47" t="s">
        <v>89</v>
      </c>
      <c r="C15" s="49"/>
      <c r="D15" s="49"/>
      <c r="E15" s="49"/>
    </row>
    <row r="16" spans="1:8" s="307" customFormat="1" ht="21" customHeight="1" x14ac:dyDescent="0.25">
      <c r="A16" s="46"/>
      <c r="B16" s="47" t="s">
        <v>86</v>
      </c>
      <c r="C16" s="49">
        <v>1213.5</v>
      </c>
      <c r="D16" s="48"/>
      <c r="E16" s="49">
        <v>214.08</v>
      </c>
    </row>
    <row r="17" spans="1:17" s="17" customFormat="1" ht="21" customHeight="1" x14ac:dyDescent="0.25">
      <c r="A17" s="46"/>
      <c r="B17" s="47" t="s">
        <v>87</v>
      </c>
      <c r="C17" s="49"/>
      <c r="D17" s="49"/>
      <c r="E17" s="49"/>
      <c r="F17" s="276"/>
    </row>
    <row r="18" spans="1:17" s="17" customFormat="1" ht="21" customHeight="1" x14ac:dyDescent="0.25">
      <c r="A18" s="46" t="s">
        <v>80</v>
      </c>
      <c r="B18" s="47" t="s">
        <v>92</v>
      </c>
      <c r="C18" s="49"/>
      <c r="D18" s="49"/>
      <c r="E18" s="49"/>
      <c r="F18" s="269">
        <f>1514.7-1.2</f>
        <v>1513.5</v>
      </c>
      <c r="G18" s="270"/>
      <c r="H18" s="270"/>
      <c r="I18" s="270"/>
      <c r="J18" s="270"/>
      <c r="K18" s="270"/>
      <c r="L18" s="270"/>
      <c r="M18" s="270"/>
      <c r="N18" s="270"/>
      <c r="O18" s="270"/>
      <c r="P18" s="270"/>
      <c r="Q18" s="270"/>
    </row>
    <row r="19" spans="1:17" ht="42.6" customHeight="1" x14ac:dyDescent="0.25">
      <c r="A19" s="46">
        <v>2</v>
      </c>
      <c r="B19" s="47" t="s">
        <v>66</v>
      </c>
      <c r="C19" s="48"/>
      <c r="D19" s="48"/>
      <c r="E19" s="48"/>
    </row>
    <row r="20" spans="1:17" ht="44.45" customHeight="1" x14ac:dyDescent="0.25">
      <c r="A20" s="46">
        <v>3</v>
      </c>
      <c r="B20" s="47" t="s">
        <v>64</v>
      </c>
      <c r="C20" s="48"/>
      <c r="D20" s="48"/>
      <c r="E20" s="48"/>
    </row>
    <row r="21" spans="1:17" ht="30" customHeight="1" x14ac:dyDescent="0.25">
      <c r="A21" s="46">
        <v>4</v>
      </c>
      <c r="B21" s="47" t="s">
        <v>8</v>
      </c>
      <c r="C21" s="48"/>
      <c r="D21" s="48"/>
      <c r="E21" s="48"/>
    </row>
    <row r="22" spans="1:17" ht="21" customHeight="1" x14ac:dyDescent="0.25">
      <c r="A22" s="46">
        <v>5</v>
      </c>
      <c r="B22" s="47" t="s">
        <v>35</v>
      </c>
      <c r="C22" s="49"/>
      <c r="D22" s="49"/>
      <c r="E22" s="49"/>
      <c r="H22" s="14"/>
    </row>
    <row r="23" spans="1:17" s="2" customFormat="1" ht="20.45" customHeight="1" x14ac:dyDescent="0.25">
      <c r="A23" s="50" t="s">
        <v>11</v>
      </c>
      <c r="B23" s="51" t="s">
        <v>9</v>
      </c>
      <c r="C23" s="68">
        <f>C24</f>
        <v>6987.9390000000003</v>
      </c>
      <c r="D23" s="68">
        <f t="shared" ref="D23:E23" si="2">D24</f>
        <v>8527.5267263999976</v>
      </c>
      <c r="E23" s="68">
        <f t="shared" si="2"/>
        <v>7878.7316151000014</v>
      </c>
      <c r="G23" s="13"/>
      <c r="H23" s="13"/>
    </row>
    <row r="24" spans="1:17" s="2" customFormat="1" ht="20.45" customHeight="1" x14ac:dyDescent="0.25">
      <c r="A24" s="50" t="s">
        <v>88</v>
      </c>
      <c r="B24" s="51" t="s">
        <v>93</v>
      </c>
      <c r="C24" s="68">
        <f>SUM(C25:C26)</f>
        <v>6987.9390000000003</v>
      </c>
      <c r="D24" s="68">
        <f>SUM(D25:D26)</f>
        <v>8527.5267263999976</v>
      </c>
      <c r="E24" s="68">
        <f>SUM(E25:E26)</f>
        <v>7878.7316151000014</v>
      </c>
      <c r="G24" s="13"/>
      <c r="H24" s="13"/>
    </row>
    <row r="25" spans="1:17" ht="16.899999999999999" customHeight="1" x14ac:dyDescent="0.25">
      <c r="A25" s="46">
        <v>1</v>
      </c>
      <c r="B25" s="47" t="s">
        <v>10</v>
      </c>
      <c r="C25" s="53">
        <f>2504.753+1364.632+930.314+23.25+826.943+454+17.575+127</f>
        <v>6248.4670000000006</v>
      </c>
      <c r="D25" s="69">
        <f>'TC-01-2024'!Z8+'Nâng lương 2024'!R9+'Nâng TNN 2024'!M10</f>
        <v>7231.5267263999976</v>
      </c>
      <c r="E25" s="69">
        <f>'TC-01-2025'!X8+'Nâng lương 2025 '!R10+'Nâng TNN 2025'!M10</f>
        <v>6771.7316151000014</v>
      </c>
      <c r="F25" s="14"/>
      <c r="G25" s="91"/>
      <c r="H25" s="91"/>
      <c r="I25" s="14"/>
      <c r="L25" s="12"/>
      <c r="M25" s="11"/>
    </row>
    <row r="26" spans="1:17" ht="16.899999999999999" customHeight="1" x14ac:dyDescent="0.25">
      <c r="A26" s="46">
        <v>2</v>
      </c>
      <c r="B26" s="47" t="s">
        <v>81</v>
      </c>
      <c r="C26" s="69">
        <f>C27</f>
        <v>739.47200000000009</v>
      </c>
      <c r="D26" s="69">
        <f>48*27</f>
        <v>1296</v>
      </c>
      <c r="E26" s="69">
        <f>41*27</f>
        <v>1107</v>
      </c>
      <c r="F26" s="88"/>
      <c r="G26" s="93"/>
      <c r="H26" s="93"/>
      <c r="I26" s="89"/>
      <c r="J26" s="182">
        <f>D26</f>
        <v>1296</v>
      </c>
      <c r="K26" s="89"/>
      <c r="L26" s="89"/>
      <c r="M26" s="89"/>
    </row>
    <row r="27" spans="1:17" s="3" customFormat="1" ht="16.899999999999999" customHeight="1" x14ac:dyDescent="0.25">
      <c r="A27" s="165"/>
      <c r="B27" s="166" t="s">
        <v>107</v>
      </c>
      <c r="C27" s="167">
        <f>SUM(C28:C40)</f>
        <v>739.47200000000009</v>
      </c>
      <c r="D27" s="167">
        <f>SUM(D28:D40)</f>
        <v>1296</v>
      </c>
      <c r="E27" s="167">
        <f>SUM(E28:E40)</f>
        <v>1107</v>
      </c>
      <c r="F27" s="92">
        <f>C26-C27</f>
        <v>0</v>
      </c>
      <c r="G27" s="93"/>
      <c r="H27" s="93"/>
      <c r="I27" s="89"/>
      <c r="J27" s="89"/>
      <c r="K27" s="89"/>
      <c r="L27" s="89"/>
      <c r="M27" s="89"/>
    </row>
    <row r="28" spans="1:17" s="3" customFormat="1" ht="16.899999999999999" customHeight="1" x14ac:dyDescent="0.25">
      <c r="A28" s="168" t="s">
        <v>121</v>
      </c>
      <c r="B28" s="169" t="s">
        <v>109</v>
      </c>
      <c r="C28" s="53">
        <v>22.68</v>
      </c>
      <c r="D28" s="53">
        <v>29.5</v>
      </c>
      <c r="E28" s="53">
        <v>28</v>
      </c>
      <c r="F28" s="177"/>
      <c r="G28" s="89"/>
      <c r="H28" s="89"/>
      <c r="I28" s="89"/>
      <c r="J28" s="53">
        <v>39.42</v>
      </c>
      <c r="K28" s="53">
        <v>39.42</v>
      </c>
      <c r="L28" s="89"/>
      <c r="M28" s="89"/>
    </row>
    <row r="29" spans="1:17" s="3" customFormat="1" ht="16.899999999999999" customHeight="1" x14ac:dyDescent="0.25">
      <c r="A29" s="168" t="s">
        <v>122</v>
      </c>
      <c r="B29" s="169" t="s">
        <v>108</v>
      </c>
      <c r="C29" s="53">
        <f>4.16</f>
        <v>4.16</v>
      </c>
      <c r="D29" s="53">
        <v>20</v>
      </c>
      <c r="E29" s="53">
        <v>20</v>
      </c>
      <c r="F29" s="62"/>
      <c r="H29" s="63"/>
      <c r="J29" s="53">
        <v>40</v>
      </c>
      <c r="K29" s="53">
        <v>40</v>
      </c>
    </row>
    <row r="30" spans="1:17" s="3" customFormat="1" ht="16.899999999999999" customHeight="1" x14ac:dyDescent="0.25">
      <c r="A30" s="168" t="s">
        <v>123</v>
      </c>
      <c r="B30" s="169" t="s">
        <v>110</v>
      </c>
      <c r="C30" s="53">
        <v>23.25</v>
      </c>
      <c r="D30" s="53">
        <v>120</v>
      </c>
      <c r="E30" s="53">
        <v>110</v>
      </c>
      <c r="F30" s="64"/>
      <c r="H30" s="65"/>
      <c r="J30" s="53">
        <v>103.56</v>
      </c>
      <c r="K30" s="53">
        <v>103.56</v>
      </c>
      <c r="M30" s="63"/>
    </row>
    <row r="31" spans="1:17" s="3" customFormat="1" ht="34.15" customHeight="1" x14ac:dyDescent="0.25">
      <c r="A31" s="168" t="s">
        <v>124</v>
      </c>
      <c r="B31" s="169" t="s">
        <v>111</v>
      </c>
      <c r="C31" s="53">
        <f>80.67</f>
        <v>80.67</v>
      </c>
      <c r="D31" s="53">
        <v>180</v>
      </c>
      <c r="E31" s="53">
        <v>150</v>
      </c>
      <c r="F31" s="64"/>
      <c r="G31" s="63"/>
      <c r="H31" s="65"/>
      <c r="J31" s="53">
        <v>263</v>
      </c>
      <c r="K31" s="53">
        <v>263</v>
      </c>
    </row>
    <row r="32" spans="1:17" s="3" customFormat="1" ht="16.899999999999999" customHeight="1" x14ac:dyDescent="0.25">
      <c r="A32" s="168" t="s">
        <v>125</v>
      </c>
      <c r="B32" s="169" t="s">
        <v>112</v>
      </c>
      <c r="C32" s="53">
        <f>17.38+106.4</f>
        <v>123.78</v>
      </c>
      <c r="D32" s="53">
        <v>120</v>
      </c>
      <c r="E32" s="53">
        <v>100</v>
      </c>
      <c r="F32" s="64"/>
      <c r="G32" s="63"/>
      <c r="H32" s="65"/>
      <c r="J32" s="53">
        <v>105</v>
      </c>
      <c r="K32" s="53">
        <v>105</v>
      </c>
    </row>
    <row r="33" spans="1:11" s="3" customFormat="1" ht="16.899999999999999" customHeight="1" x14ac:dyDescent="0.25">
      <c r="A33" s="168" t="s">
        <v>126</v>
      </c>
      <c r="B33" s="169" t="s">
        <v>113</v>
      </c>
      <c r="C33" s="53">
        <v>21.32</v>
      </c>
      <c r="D33" s="53">
        <v>22</v>
      </c>
      <c r="E33" s="53">
        <v>22</v>
      </c>
      <c r="F33" s="64"/>
      <c r="G33" s="63"/>
      <c r="H33" s="65"/>
      <c r="J33" s="53">
        <v>42</v>
      </c>
      <c r="K33" s="53">
        <v>42</v>
      </c>
    </row>
    <row r="34" spans="1:11" s="3" customFormat="1" ht="16.899999999999999" customHeight="1" x14ac:dyDescent="0.25">
      <c r="A34" s="168" t="s">
        <v>127</v>
      </c>
      <c r="B34" s="169" t="s">
        <v>114</v>
      </c>
      <c r="C34" s="53">
        <f>85.1</f>
        <v>85.1</v>
      </c>
      <c r="D34" s="53">
        <v>10.5</v>
      </c>
      <c r="E34" s="53">
        <v>10</v>
      </c>
      <c r="F34" s="64"/>
      <c r="G34" s="63"/>
      <c r="H34" s="65"/>
      <c r="J34" s="53">
        <v>10.5</v>
      </c>
      <c r="K34" s="53">
        <v>10.5</v>
      </c>
    </row>
    <row r="35" spans="1:11" s="3" customFormat="1" ht="16.899999999999999" customHeight="1" x14ac:dyDescent="0.25">
      <c r="A35" s="168" t="s">
        <v>128</v>
      </c>
      <c r="B35" s="170" t="s">
        <v>115</v>
      </c>
      <c r="C35" s="53"/>
      <c r="D35" s="53">
        <v>120</v>
      </c>
      <c r="E35" s="53">
        <v>120</v>
      </c>
      <c r="F35" s="64"/>
      <c r="G35" s="63"/>
      <c r="H35" s="65"/>
      <c r="J35" s="53">
        <v>335.52</v>
      </c>
      <c r="K35" s="53">
        <v>335.52</v>
      </c>
    </row>
    <row r="36" spans="1:11" s="67" customFormat="1" ht="37.15" customHeight="1" x14ac:dyDescent="0.25">
      <c r="A36" s="168" t="s">
        <v>129</v>
      </c>
      <c r="B36" s="169" t="s">
        <v>116</v>
      </c>
      <c r="C36" s="53">
        <f>40.243</f>
        <v>40.243000000000002</v>
      </c>
      <c r="D36" s="53">
        <v>200</v>
      </c>
      <c r="E36" s="53">
        <v>200</v>
      </c>
      <c r="F36" s="66"/>
      <c r="G36" s="94"/>
      <c r="J36" s="53">
        <v>330</v>
      </c>
      <c r="K36" s="53">
        <v>330</v>
      </c>
    </row>
    <row r="37" spans="1:11" s="67" customFormat="1" ht="16.899999999999999" customHeight="1" x14ac:dyDescent="0.25">
      <c r="A37" s="168" t="s">
        <v>130</v>
      </c>
      <c r="B37" s="169" t="s">
        <v>117</v>
      </c>
      <c r="C37" s="53">
        <f>113.559</f>
        <v>113.559</v>
      </c>
      <c r="D37" s="53">
        <v>107</v>
      </c>
      <c r="E37" s="53">
        <v>100</v>
      </c>
      <c r="F37" s="66"/>
      <c r="J37" s="53">
        <v>100</v>
      </c>
      <c r="K37" s="53">
        <v>100</v>
      </c>
    </row>
    <row r="38" spans="1:11" s="67" customFormat="1" ht="16.899999999999999" customHeight="1" x14ac:dyDescent="0.25">
      <c r="A38" s="168" t="s">
        <v>131</v>
      </c>
      <c r="B38" s="169" t="s">
        <v>118</v>
      </c>
      <c r="C38" s="53">
        <f>221.61</f>
        <v>221.61</v>
      </c>
      <c r="D38" s="53">
        <v>320</v>
      </c>
      <c r="E38" s="53">
        <v>205</v>
      </c>
      <c r="F38" s="66"/>
      <c r="J38" s="53">
        <v>510</v>
      </c>
      <c r="K38" s="53">
        <v>510</v>
      </c>
    </row>
    <row r="39" spans="1:11" s="67" customFormat="1" ht="16.899999999999999" customHeight="1" x14ac:dyDescent="0.25">
      <c r="A39" s="168" t="s">
        <v>132</v>
      </c>
      <c r="B39" s="169" t="s">
        <v>119</v>
      </c>
      <c r="C39" s="53"/>
      <c r="D39" s="90">
        <v>0</v>
      </c>
      <c r="E39" s="90">
        <v>0</v>
      </c>
      <c r="F39" s="66"/>
      <c r="J39" s="90">
        <v>0</v>
      </c>
      <c r="K39" s="90">
        <v>0</v>
      </c>
    </row>
    <row r="40" spans="1:11" s="67" customFormat="1" ht="16.899999999999999" customHeight="1" x14ac:dyDescent="0.25">
      <c r="A40" s="168" t="s">
        <v>133</v>
      </c>
      <c r="B40" s="169" t="s">
        <v>63</v>
      </c>
      <c r="C40" s="53">
        <v>3.1</v>
      </c>
      <c r="D40" s="53">
        <v>47</v>
      </c>
      <c r="E40" s="53">
        <v>42</v>
      </c>
      <c r="F40" s="66"/>
      <c r="J40" s="53">
        <v>92</v>
      </c>
      <c r="K40" s="53">
        <v>92</v>
      </c>
    </row>
    <row r="41" spans="1:11" s="17" customFormat="1" ht="20.45" customHeight="1" x14ac:dyDescent="0.25">
      <c r="A41" s="50" t="s">
        <v>32</v>
      </c>
      <c r="B41" s="51" t="s">
        <v>12</v>
      </c>
      <c r="C41" s="54">
        <f>C10/C23*100</f>
        <v>32.254145320959438</v>
      </c>
      <c r="D41" s="54">
        <f>D10/D23*100</f>
        <v>17.762477311395653</v>
      </c>
      <c r="E41" s="54">
        <f>E10/E23*100</f>
        <v>6.067981793969663</v>
      </c>
      <c r="F41" s="19"/>
      <c r="G41" s="20"/>
      <c r="H41" s="21"/>
      <c r="J41" s="20">
        <f>SUM(J28:J40)</f>
        <v>1971</v>
      </c>
      <c r="K41" s="20">
        <f>SUM(K28:K40)</f>
        <v>1971</v>
      </c>
    </row>
    <row r="42" spans="1:11" s="17" customFormat="1" ht="20.45" customHeight="1" x14ac:dyDescent="0.25">
      <c r="A42" s="50" t="s">
        <v>31</v>
      </c>
      <c r="B42" s="51" t="s">
        <v>13</v>
      </c>
      <c r="C42" s="54">
        <f>C23-C10</f>
        <v>4734.0390000000007</v>
      </c>
      <c r="D42" s="54">
        <f>D23-D10</f>
        <v>7012.8267263999978</v>
      </c>
      <c r="E42" s="54">
        <f>E23-E10</f>
        <v>7400.6516151000014</v>
      </c>
      <c r="F42" s="19"/>
      <c r="G42" s="20"/>
      <c r="H42" s="21"/>
      <c r="J42" s="20">
        <f>J26-J41</f>
        <v>-675</v>
      </c>
    </row>
    <row r="43" spans="1:11" s="17" customFormat="1" ht="34.15" customHeight="1" x14ac:dyDescent="0.25">
      <c r="A43" s="50" t="s">
        <v>30</v>
      </c>
      <c r="B43" s="51" t="s">
        <v>14</v>
      </c>
      <c r="C43" s="52">
        <f t="shared" ref="C43:E43" si="3">C44+C47+C48+C49</f>
        <v>270.63400000000001</v>
      </c>
      <c r="D43" s="52">
        <f t="shared" si="3"/>
        <v>0</v>
      </c>
      <c r="E43" s="52">
        <f t="shared" si="3"/>
        <v>0</v>
      </c>
      <c r="F43" s="19"/>
      <c r="G43" s="20"/>
      <c r="H43" s="21"/>
    </row>
    <row r="44" spans="1:11" s="17" customFormat="1" ht="20.45" customHeight="1" x14ac:dyDescent="0.25">
      <c r="A44" s="55">
        <v>1</v>
      </c>
      <c r="B44" s="47" t="s">
        <v>15</v>
      </c>
      <c r="C44" s="48">
        <f>C45</f>
        <v>27.6</v>
      </c>
      <c r="D44" s="48">
        <f t="shared" ref="D44:E44" si="4">D45+D46</f>
        <v>0</v>
      </c>
      <c r="E44" s="48">
        <f t="shared" si="4"/>
        <v>0</v>
      </c>
      <c r="F44" s="19"/>
      <c r="G44" s="20"/>
      <c r="H44" s="21"/>
    </row>
    <row r="45" spans="1:11" ht="20.45" customHeight="1" x14ac:dyDescent="0.25">
      <c r="A45" s="55" t="s">
        <v>5</v>
      </c>
      <c r="B45" s="47" t="s">
        <v>16</v>
      </c>
      <c r="C45" s="48">
        <v>27.6</v>
      </c>
      <c r="D45" s="48"/>
      <c r="E45" s="48"/>
      <c r="F45" s="18"/>
      <c r="G45" s="14"/>
      <c r="H45" s="10"/>
    </row>
    <row r="46" spans="1:11" ht="20.45" customHeight="1" x14ac:dyDescent="0.25">
      <c r="A46" s="55" t="s">
        <v>6</v>
      </c>
      <c r="B46" s="47" t="s">
        <v>17</v>
      </c>
      <c r="C46" s="267"/>
      <c r="D46" s="48"/>
      <c r="E46" s="48"/>
      <c r="F46" s="18"/>
      <c r="G46" s="14"/>
      <c r="H46" s="10"/>
    </row>
    <row r="47" spans="1:11" s="15" customFormat="1" ht="18" customHeight="1" x14ac:dyDescent="0.25">
      <c r="A47" s="79">
        <v>2</v>
      </c>
      <c r="B47" s="80" t="s">
        <v>18</v>
      </c>
      <c r="C47" s="48">
        <v>235.834</v>
      </c>
      <c r="D47" s="81"/>
      <c r="E47" s="81"/>
    </row>
    <row r="48" spans="1:11" s="15" customFormat="1" ht="18" customHeight="1" x14ac:dyDescent="0.25">
      <c r="A48" s="82">
        <v>3</v>
      </c>
      <c r="B48" s="80" t="s">
        <v>19</v>
      </c>
      <c r="C48" s="81">
        <v>7.2</v>
      </c>
      <c r="D48" s="81"/>
      <c r="E48" s="81"/>
      <c r="H48" s="16"/>
    </row>
    <row r="49" spans="1:14" s="15" customFormat="1" ht="20.45" customHeight="1" x14ac:dyDescent="0.25">
      <c r="A49" s="82">
        <v>4</v>
      </c>
      <c r="B49" s="80" t="s">
        <v>20</v>
      </c>
      <c r="C49" s="81"/>
      <c r="D49" s="81"/>
      <c r="E49" s="83"/>
      <c r="G49" s="16"/>
      <c r="H49" s="16"/>
    </row>
    <row r="50" spans="1:14" s="17" customFormat="1" ht="33.6" customHeight="1" x14ac:dyDescent="0.25">
      <c r="A50" s="82"/>
      <c r="B50" s="84" t="s">
        <v>21</v>
      </c>
      <c r="C50" s="81"/>
      <c r="D50" s="81"/>
      <c r="E50" s="81"/>
      <c r="F50" s="343"/>
      <c r="G50" s="344"/>
      <c r="H50" s="344"/>
      <c r="I50" s="344"/>
      <c r="J50" s="344"/>
      <c r="K50" s="344"/>
      <c r="L50" s="344"/>
      <c r="M50" s="344"/>
      <c r="N50" s="344"/>
    </row>
    <row r="51" spans="1:14" s="17" customFormat="1" ht="17.45" customHeight="1" x14ac:dyDescent="0.25">
      <c r="A51" s="85" t="s">
        <v>29</v>
      </c>
      <c r="B51" s="86" t="s">
        <v>67</v>
      </c>
      <c r="C51" s="83">
        <f t="shared" ref="C51" si="5">C52</f>
        <v>0.46792460317460316</v>
      </c>
      <c r="D51" s="83">
        <f t="shared" ref="D51:E51" si="6">D52</f>
        <v>0</v>
      </c>
      <c r="E51" s="83">
        <f t="shared" si="6"/>
        <v>0</v>
      </c>
      <c r="F51" s="343"/>
      <c r="G51" s="344"/>
      <c r="H51" s="344"/>
      <c r="I51" s="344"/>
      <c r="J51" s="344"/>
      <c r="K51" s="344"/>
      <c r="L51" s="344"/>
      <c r="M51" s="344"/>
      <c r="N51" s="344"/>
    </row>
    <row r="52" spans="1:14" s="17" customFormat="1" ht="17.45" customHeight="1" x14ac:dyDescent="0.25">
      <c r="A52" s="82">
        <v>1</v>
      </c>
      <c r="B52" s="87" t="s">
        <v>22</v>
      </c>
      <c r="C52" s="83">
        <f>C47/42/12</f>
        <v>0.46792460317460316</v>
      </c>
      <c r="D52" s="83">
        <f>D47/41/12</f>
        <v>0</v>
      </c>
      <c r="E52" s="83">
        <f>E47/44/12</f>
        <v>0</v>
      </c>
      <c r="F52" s="343"/>
      <c r="G52" s="344"/>
      <c r="H52" s="344"/>
      <c r="I52" s="344"/>
      <c r="J52" s="344"/>
      <c r="K52" s="344"/>
      <c r="L52" s="344"/>
      <c r="M52" s="344"/>
      <c r="N52" s="344"/>
    </row>
    <row r="53" spans="1:14" s="17" customFormat="1" ht="17.45" customHeight="1" x14ac:dyDescent="0.25">
      <c r="A53" s="82">
        <v>2</v>
      </c>
      <c r="B53" s="87" t="s">
        <v>23</v>
      </c>
      <c r="C53" s="81"/>
      <c r="D53" s="81"/>
      <c r="E53" s="81"/>
      <c r="F53" s="338"/>
      <c r="G53" s="339"/>
      <c r="H53" s="339"/>
      <c r="I53" s="339"/>
      <c r="J53" s="339"/>
      <c r="K53" s="339"/>
      <c r="L53" s="339"/>
      <c r="M53" s="339"/>
    </row>
    <row r="54" spans="1:14" ht="17.45" customHeight="1" x14ac:dyDescent="0.25">
      <c r="A54" s="55">
        <v>3</v>
      </c>
      <c r="B54" s="56" t="s">
        <v>24</v>
      </c>
      <c r="C54" s="49"/>
      <c r="D54" s="49"/>
      <c r="E54" s="49"/>
      <c r="G54" s="17"/>
      <c r="H54" s="17"/>
      <c r="I54" s="17"/>
      <c r="J54" s="17"/>
      <c r="K54" s="17"/>
      <c r="L54" s="17"/>
    </row>
    <row r="55" spans="1:14" ht="17.45" customHeight="1" x14ac:dyDescent="0.25">
      <c r="A55" s="55">
        <v>4</v>
      </c>
      <c r="B55" s="56" t="s">
        <v>25</v>
      </c>
      <c r="C55" s="49"/>
      <c r="D55" s="49"/>
      <c r="E55" s="49"/>
      <c r="G55" s="17"/>
      <c r="H55" s="17"/>
      <c r="I55" s="17"/>
      <c r="J55" s="17"/>
      <c r="K55" s="17"/>
      <c r="L55" s="17"/>
    </row>
    <row r="56" spans="1:14" ht="24.6" customHeight="1" x14ac:dyDescent="0.25">
      <c r="A56" s="55" t="s">
        <v>68</v>
      </c>
      <c r="B56" s="47" t="s">
        <v>26</v>
      </c>
      <c r="C56" s="57"/>
      <c r="D56" s="57"/>
      <c r="E56" s="57"/>
      <c r="G56" s="17"/>
      <c r="H56" s="17"/>
      <c r="I56" s="17"/>
      <c r="J56" s="17"/>
      <c r="K56" s="17"/>
      <c r="L56" s="17"/>
    </row>
    <row r="57" spans="1:14" ht="21.6" customHeight="1" x14ac:dyDescent="0.25">
      <c r="A57" s="55" t="s">
        <v>69</v>
      </c>
      <c r="B57" s="47" t="s">
        <v>27</v>
      </c>
      <c r="C57" s="57"/>
      <c r="D57" s="57"/>
      <c r="E57" s="57"/>
      <c r="G57" s="17"/>
      <c r="H57" s="17"/>
      <c r="I57" s="17"/>
      <c r="J57" s="17"/>
      <c r="K57" s="17"/>
      <c r="L57" s="17"/>
    </row>
    <row r="58" spans="1:14" ht="31.15" customHeight="1" x14ac:dyDescent="0.25">
      <c r="A58" s="50" t="s">
        <v>28</v>
      </c>
      <c r="B58" s="51" t="s">
        <v>70</v>
      </c>
      <c r="C58" s="54">
        <f t="shared" ref="C58:E58" si="7">C59+C62+C65</f>
        <v>167.2</v>
      </c>
      <c r="D58" s="54">
        <f t="shared" si="7"/>
        <v>232.24799999999999</v>
      </c>
      <c r="E58" s="54">
        <f t="shared" si="7"/>
        <v>232.24799999999999</v>
      </c>
      <c r="F58" s="3"/>
    </row>
    <row r="59" spans="1:14" ht="19.899999999999999" customHeight="1" x14ac:dyDescent="0.25">
      <c r="A59" s="50">
        <v>1</v>
      </c>
      <c r="B59" s="58" t="s">
        <v>78</v>
      </c>
      <c r="C59" s="54">
        <f t="shared" ref="C59:E59" si="8">C60+C61</f>
        <v>167.2</v>
      </c>
      <c r="D59" s="54">
        <f t="shared" si="8"/>
        <v>232.24799999999999</v>
      </c>
      <c r="E59" s="54">
        <f t="shared" si="8"/>
        <v>232.24799999999999</v>
      </c>
    </row>
    <row r="60" spans="1:14" ht="19.899999999999999" customHeight="1" x14ac:dyDescent="0.25">
      <c r="A60" s="50" t="s">
        <v>80</v>
      </c>
      <c r="B60" s="59" t="s">
        <v>120</v>
      </c>
      <c r="C60" s="49">
        <f>10.5+40.2</f>
        <v>50.7</v>
      </c>
      <c r="D60" s="49">
        <f>9.75+9</f>
        <v>18.75</v>
      </c>
      <c r="E60" s="49">
        <f>9.75+9</f>
        <v>18.75</v>
      </c>
    </row>
    <row r="61" spans="1:14" ht="19.899999999999999" customHeight="1" x14ac:dyDescent="0.25">
      <c r="A61" s="50" t="s">
        <v>80</v>
      </c>
      <c r="B61" s="60" t="s">
        <v>77</v>
      </c>
      <c r="C61" s="49">
        <f>41.5+75</f>
        <v>116.5</v>
      </c>
      <c r="D61" s="49">
        <f>87.576+125.922</f>
        <v>213.49799999999999</v>
      </c>
      <c r="E61" s="49">
        <f>87.576+125.922</f>
        <v>213.49799999999999</v>
      </c>
    </row>
    <row r="62" spans="1:14" ht="19.899999999999999" customHeight="1" x14ac:dyDescent="0.25">
      <c r="A62" s="50">
        <v>2</v>
      </c>
      <c r="B62" s="58" t="s">
        <v>79</v>
      </c>
      <c r="C62" s="54">
        <f t="shared" ref="C62:E62" si="9">C63+C64</f>
        <v>0</v>
      </c>
      <c r="D62" s="54">
        <f t="shared" si="9"/>
        <v>0</v>
      </c>
      <c r="E62" s="54">
        <f t="shared" si="9"/>
        <v>0</v>
      </c>
    </row>
    <row r="63" spans="1:14" ht="19.899999999999999" customHeight="1" x14ac:dyDescent="0.25">
      <c r="A63" s="50"/>
      <c r="B63" s="47" t="s">
        <v>76</v>
      </c>
      <c r="C63" s="49"/>
      <c r="D63" s="49"/>
      <c r="E63" s="49"/>
    </row>
    <row r="64" spans="1:14" ht="19.899999999999999" customHeight="1" x14ac:dyDescent="0.25">
      <c r="A64" s="50"/>
      <c r="B64" s="60" t="s">
        <v>75</v>
      </c>
      <c r="C64" s="49"/>
      <c r="D64" s="49"/>
      <c r="E64" s="49"/>
    </row>
    <row r="65" spans="1:5" ht="19.899999999999999" customHeight="1" x14ac:dyDescent="0.25">
      <c r="A65" s="50">
        <v>3</v>
      </c>
      <c r="B65" s="61" t="s">
        <v>63</v>
      </c>
      <c r="C65" s="54">
        <f t="shared" ref="C65:E65" si="10">C66</f>
        <v>0</v>
      </c>
      <c r="D65" s="54">
        <f t="shared" si="10"/>
        <v>0</v>
      </c>
      <c r="E65" s="54">
        <f t="shared" si="10"/>
        <v>0</v>
      </c>
    </row>
    <row r="66" spans="1:5" ht="19.899999999999999" customHeight="1" x14ac:dyDescent="0.25">
      <c r="A66" s="44"/>
      <c r="B66" s="44" t="s">
        <v>63</v>
      </c>
      <c r="C66" s="45"/>
      <c r="D66" s="45"/>
      <c r="E66" s="45"/>
    </row>
    <row r="67" spans="1:5" ht="18.600000000000001" customHeight="1" x14ac:dyDescent="0.3">
      <c r="A67" s="2"/>
      <c r="B67" s="260"/>
      <c r="C67" s="340" t="s">
        <v>261</v>
      </c>
      <c r="D67" s="340"/>
      <c r="E67" s="340"/>
    </row>
    <row r="68" spans="1:5" ht="18.600000000000001" customHeight="1" x14ac:dyDescent="0.3">
      <c r="A68" s="2"/>
      <c r="B68" s="304" t="s">
        <v>285</v>
      </c>
      <c r="C68" s="335" t="s">
        <v>94</v>
      </c>
      <c r="D68" s="335"/>
      <c r="E68" s="335"/>
    </row>
    <row r="69" spans="1:5" ht="18.600000000000001" customHeight="1" x14ac:dyDescent="0.3">
      <c r="B69" s="305"/>
      <c r="C69" s="256"/>
      <c r="D69" s="306"/>
      <c r="E69" s="306"/>
    </row>
    <row r="70" spans="1:5" ht="18.600000000000001" customHeight="1" x14ac:dyDescent="0.3">
      <c r="B70" s="305"/>
      <c r="C70" s="256"/>
      <c r="D70" s="306"/>
      <c r="E70" s="306"/>
    </row>
    <row r="71" spans="1:5" ht="18.600000000000001" customHeight="1" x14ac:dyDescent="0.3">
      <c r="B71" s="305"/>
      <c r="C71" s="256"/>
      <c r="D71" s="306"/>
      <c r="E71" s="306"/>
    </row>
    <row r="72" spans="1:5" ht="18.75" x14ac:dyDescent="0.3">
      <c r="B72" s="305"/>
      <c r="C72" s="256"/>
      <c r="D72" s="306"/>
      <c r="E72" s="306"/>
    </row>
    <row r="73" spans="1:5" ht="18.75" x14ac:dyDescent="0.3">
      <c r="B73" s="304" t="s">
        <v>286</v>
      </c>
      <c r="C73" s="335" t="s">
        <v>219</v>
      </c>
      <c r="D73" s="335"/>
      <c r="E73" s="335"/>
    </row>
  </sheetData>
  <mergeCells count="17">
    <mergeCell ref="F53:M53"/>
    <mergeCell ref="C67:E67"/>
    <mergeCell ref="C68:E68"/>
    <mergeCell ref="C73:E73"/>
    <mergeCell ref="F7:F9"/>
    <mergeCell ref="C8:C9"/>
    <mergeCell ref="D8:D9"/>
    <mergeCell ref="E8:E9"/>
    <mergeCell ref="F50:N52"/>
    <mergeCell ref="A7:A9"/>
    <mergeCell ref="B7:B9"/>
    <mergeCell ref="C7:E7"/>
    <mergeCell ref="A1:B1"/>
    <mergeCell ref="C1:E1"/>
    <mergeCell ref="A4:E4"/>
    <mergeCell ref="A5:E5"/>
    <mergeCell ref="D6:E6"/>
  </mergeCells>
  <pageMargins left="0" right="0" top="0.39370078740157483" bottom="0.19685039370078741"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view="pageBreakPreview" topLeftCell="D19" zoomScaleNormal="100" zoomScaleSheetLayoutView="100" workbookViewId="0">
      <selection activeCell="T19" sqref="T1:AA1048576"/>
    </sheetView>
  </sheetViews>
  <sheetFormatPr defaultColWidth="8.85546875" defaultRowHeight="15" x14ac:dyDescent="0.25"/>
  <cols>
    <col min="1" max="1" width="4.28515625" style="97" customWidth="1"/>
    <col min="2" max="2" width="22.7109375" style="97" customWidth="1"/>
    <col min="3" max="3" width="6.7109375" style="97" customWidth="1"/>
    <col min="4" max="4" width="6.85546875" style="97" customWidth="1"/>
    <col min="5" max="5" width="7.28515625" style="97" customWidth="1"/>
    <col min="6" max="6" width="3.7109375" style="97" customWidth="1"/>
    <col min="7" max="7" width="5.7109375" style="97" customWidth="1"/>
    <col min="8" max="8" width="5.85546875" style="97" customWidth="1"/>
    <col min="9" max="9" width="5.7109375" style="97" customWidth="1"/>
    <col min="10" max="10" width="5.42578125" style="97" customWidth="1"/>
    <col min="11" max="11" width="6.5703125" style="97" customWidth="1"/>
    <col min="12" max="12" width="7.140625" style="97" customWidth="1"/>
    <col min="13" max="13" width="8.140625" style="97" customWidth="1"/>
    <col min="14" max="14" width="7.5703125" style="97" customWidth="1"/>
    <col min="15" max="15" width="6.7109375" style="97" customWidth="1"/>
    <col min="16" max="16" width="5.7109375" style="97" customWidth="1"/>
    <col min="17" max="17" width="7.85546875" style="97" customWidth="1"/>
    <col min="18" max="18" width="7.7109375" style="97" customWidth="1"/>
    <col min="19" max="19" width="10.42578125" style="97" customWidth="1"/>
    <col min="20" max="27" width="0" style="97" hidden="1" customWidth="1"/>
    <col min="28" max="16384" width="8.85546875" style="97"/>
  </cols>
  <sheetData>
    <row r="1" spans="1:26" ht="15.75" x14ac:dyDescent="0.25">
      <c r="A1" s="345" t="s">
        <v>74</v>
      </c>
      <c r="B1" s="345"/>
      <c r="C1" s="345"/>
      <c r="D1" s="345"/>
      <c r="E1" s="100"/>
      <c r="F1" s="105"/>
      <c r="G1" s="105"/>
      <c r="H1" s="105"/>
      <c r="I1" s="101"/>
      <c r="J1" s="101"/>
      <c r="K1" s="101"/>
      <c r="L1" s="101"/>
      <c r="M1" s="101"/>
      <c r="N1" s="101"/>
      <c r="O1" s="101"/>
      <c r="P1" s="101"/>
      <c r="S1" s="95" t="s">
        <v>156</v>
      </c>
    </row>
    <row r="2" spans="1:26" ht="15.75" x14ac:dyDescent="0.25">
      <c r="A2" s="313" t="s">
        <v>263</v>
      </c>
      <c r="B2" s="313"/>
      <c r="C2" s="313"/>
      <c r="D2" s="313"/>
      <c r="E2" s="105"/>
      <c r="F2" s="105"/>
      <c r="G2" s="105"/>
      <c r="H2" s="105"/>
      <c r="I2" s="101"/>
      <c r="J2" s="101"/>
      <c r="K2" s="101"/>
      <c r="L2" s="101"/>
      <c r="M2" s="101"/>
      <c r="N2" s="101"/>
      <c r="O2" s="101"/>
      <c r="P2" s="101"/>
      <c r="Q2" s="106"/>
    </row>
    <row r="3" spans="1:26" ht="15.75" x14ac:dyDescent="0.25">
      <c r="A3" s="153"/>
      <c r="B3" s="153"/>
      <c r="C3" s="153"/>
      <c r="D3" s="153"/>
      <c r="E3" s="105"/>
      <c r="F3" s="105"/>
      <c r="G3" s="105"/>
      <c r="H3" s="105"/>
      <c r="I3" s="101"/>
      <c r="J3" s="101"/>
      <c r="K3" s="101"/>
      <c r="L3" s="101"/>
      <c r="M3" s="101"/>
      <c r="N3" s="101"/>
      <c r="O3" s="101"/>
      <c r="P3" s="101"/>
      <c r="Q3" s="106"/>
    </row>
    <row r="4" spans="1:26" ht="25.15" customHeight="1" x14ac:dyDescent="0.25">
      <c r="A4" s="346" t="s">
        <v>167</v>
      </c>
      <c r="B4" s="346"/>
      <c r="C4" s="346"/>
      <c r="D4" s="346"/>
      <c r="E4" s="346"/>
      <c r="F4" s="346"/>
      <c r="G4" s="346"/>
      <c r="H4" s="346"/>
      <c r="I4" s="346"/>
      <c r="J4" s="346"/>
      <c r="K4" s="346"/>
      <c r="L4" s="346"/>
      <c r="M4" s="346"/>
      <c r="N4" s="346"/>
      <c r="O4" s="346"/>
      <c r="P4" s="346"/>
      <c r="Q4" s="346"/>
      <c r="R4" s="346"/>
      <c r="S4" s="346"/>
    </row>
    <row r="5" spans="1:26" ht="23.45" customHeight="1" x14ac:dyDescent="0.25">
      <c r="A5" s="347" t="s">
        <v>90</v>
      </c>
      <c r="B5" s="347" t="s">
        <v>135</v>
      </c>
      <c r="C5" s="348" t="s">
        <v>157</v>
      </c>
      <c r="D5" s="348"/>
      <c r="E5" s="348"/>
      <c r="F5" s="348"/>
      <c r="G5" s="348"/>
      <c r="H5" s="348"/>
      <c r="I5" s="348"/>
      <c r="J5" s="348"/>
      <c r="K5" s="348"/>
      <c r="L5" s="348"/>
      <c r="M5" s="348"/>
      <c r="N5" s="348"/>
      <c r="O5" s="348"/>
      <c r="P5" s="349" t="s">
        <v>141</v>
      </c>
      <c r="Q5" s="349" t="s">
        <v>158</v>
      </c>
      <c r="R5" s="349" t="s">
        <v>175</v>
      </c>
      <c r="S5" s="350" t="s">
        <v>284</v>
      </c>
    </row>
    <row r="6" spans="1:26" ht="31.9" customHeight="1" x14ac:dyDescent="0.25">
      <c r="A6" s="347"/>
      <c r="B6" s="347"/>
      <c r="C6" s="349" t="s">
        <v>159</v>
      </c>
      <c r="D6" s="349" t="s">
        <v>160</v>
      </c>
      <c r="E6" s="349" t="s">
        <v>161</v>
      </c>
      <c r="F6" s="349" t="s">
        <v>176</v>
      </c>
      <c r="G6" s="349"/>
      <c r="H6" s="349"/>
      <c r="I6" s="349"/>
      <c r="J6" s="349"/>
      <c r="K6" s="349" t="s">
        <v>162</v>
      </c>
      <c r="L6" s="349" t="s">
        <v>163</v>
      </c>
      <c r="M6" s="349"/>
      <c r="N6" s="349" t="s">
        <v>147</v>
      </c>
      <c r="O6" s="349" t="s">
        <v>148</v>
      </c>
      <c r="P6" s="349"/>
      <c r="Q6" s="349"/>
      <c r="R6" s="349"/>
      <c r="S6" s="350"/>
    </row>
    <row r="7" spans="1:26" ht="51.6" customHeight="1" x14ac:dyDescent="0.25">
      <c r="A7" s="347"/>
      <c r="B7" s="347"/>
      <c r="C7" s="349"/>
      <c r="D7" s="349"/>
      <c r="E7" s="349"/>
      <c r="F7" s="295" t="s">
        <v>170</v>
      </c>
      <c r="G7" s="295" t="s">
        <v>171</v>
      </c>
      <c r="H7" s="295" t="s">
        <v>172</v>
      </c>
      <c r="I7" s="295" t="s">
        <v>173</v>
      </c>
      <c r="J7" s="295" t="s">
        <v>174</v>
      </c>
      <c r="K7" s="349"/>
      <c r="L7" s="295" t="s">
        <v>47</v>
      </c>
      <c r="M7" s="295" t="s">
        <v>51</v>
      </c>
      <c r="N7" s="349"/>
      <c r="O7" s="349"/>
      <c r="P7" s="349"/>
      <c r="Q7" s="349"/>
      <c r="R7" s="349"/>
      <c r="S7" s="350"/>
    </row>
    <row r="8" spans="1:26" ht="33" customHeight="1" x14ac:dyDescent="0.25">
      <c r="A8" s="111">
        <v>1</v>
      </c>
      <c r="B8" s="111">
        <v>2</v>
      </c>
      <c r="C8" s="112">
        <v>3</v>
      </c>
      <c r="D8" s="112">
        <v>4</v>
      </c>
      <c r="E8" s="112" t="s">
        <v>164</v>
      </c>
      <c r="F8" s="112">
        <v>6</v>
      </c>
      <c r="G8" s="112">
        <v>7</v>
      </c>
      <c r="H8" s="112">
        <v>8</v>
      </c>
      <c r="I8" s="112">
        <v>9</v>
      </c>
      <c r="J8" s="112">
        <v>10</v>
      </c>
      <c r="K8" s="112">
        <v>11</v>
      </c>
      <c r="L8" s="112" t="s">
        <v>177</v>
      </c>
      <c r="M8" s="112" t="s">
        <v>178</v>
      </c>
      <c r="N8" s="112" t="s">
        <v>186</v>
      </c>
      <c r="O8" s="112" t="s">
        <v>181</v>
      </c>
      <c r="P8" s="112">
        <v>16</v>
      </c>
      <c r="Q8" s="112" t="s">
        <v>180</v>
      </c>
      <c r="R8" s="112">
        <v>18</v>
      </c>
      <c r="S8" s="112">
        <v>19</v>
      </c>
    </row>
    <row r="9" spans="1:26" ht="25.9" customHeight="1" x14ac:dyDescent="0.25">
      <c r="A9" s="96"/>
      <c r="B9" s="117" t="s">
        <v>154</v>
      </c>
      <c r="C9" s="162">
        <f t="shared" ref="C9:R9" si="0">SUM(C10:C24)</f>
        <v>60.49</v>
      </c>
      <c r="D9" s="162">
        <f t="shared" si="0"/>
        <v>65.48</v>
      </c>
      <c r="E9" s="162">
        <f t="shared" si="0"/>
        <v>4.9899999999999984</v>
      </c>
      <c r="F9" s="163">
        <f t="shared" si="0"/>
        <v>0</v>
      </c>
      <c r="G9" s="163">
        <f t="shared" si="0"/>
        <v>0</v>
      </c>
      <c r="H9" s="163">
        <f t="shared" si="0"/>
        <v>0</v>
      </c>
      <c r="I9" s="163">
        <f t="shared" si="0"/>
        <v>0</v>
      </c>
      <c r="J9" s="163">
        <f t="shared" si="0"/>
        <v>0</v>
      </c>
      <c r="K9" s="162">
        <f t="shared" si="0"/>
        <v>2.3349999999999986</v>
      </c>
      <c r="L9" s="162">
        <f t="shared" si="0"/>
        <v>0.87099999999999955</v>
      </c>
      <c r="M9" s="162">
        <f t="shared" si="0"/>
        <v>1.4639999999999995</v>
      </c>
      <c r="N9" s="162">
        <f t="shared" si="0"/>
        <v>1.2838519999999998</v>
      </c>
      <c r="O9" s="162">
        <f t="shared" si="0"/>
        <v>8.6088519999999971</v>
      </c>
      <c r="P9" s="163">
        <f t="shared" si="0"/>
        <v>85</v>
      </c>
      <c r="Q9" s="162">
        <f t="shared" si="0"/>
        <v>48.501394499999989</v>
      </c>
      <c r="R9" s="162">
        <f t="shared" si="0"/>
        <v>87.302510099999992</v>
      </c>
      <c r="S9" s="164"/>
    </row>
    <row r="10" spans="1:26" ht="22.9" customHeight="1" x14ac:dyDescent="0.25">
      <c r="A10" s="254">
        <v>1</v>
      </c>
      <c r="B10" s="296" t="s">
        <v>248</v>
      </c>
      <c r="C10" s="297">
        <v>2.67</v>
      </c>
      <c r="D10" s="120">
        <f>C10+0.33</f>
        <v>3</v>
      </c>
      <c r="E10" s="120">
        <f t="shared" ref="E10:E24" si="1">D10-C10</f>
        <v>0.33000000000000007</v>
      </c>
      <c r="F10" s="298"/>
      <c r="G10" s="298"/>
      <c r="H10" s="298"/>
      <c r="I10" s="298"/>
      <c r="J10" s="298"/>
      <c r="K10" s="120">
        <f>L10+M10</f>
        <v>0.18150000000000005</v>
      </c>
      <c r="L10" s="120">
        <f>E10*Z10</f>
        <v>8.2500000000000018E-2</v>
      </c>
      <c r="M10" s="299">
        <f>(E10+J10)*30%</f>
        <v>9.9000000000000019E-2</v>
      </c>
      <c r="N10" s="299">
        <f>(E10+J10+L10)*23.5%</f>
        <v>9.693750000000001E-2</v>
      </c>
      <c r="O10" s="299">
        <f>E10+J10+K10+N10</f>
        <v>0.60843750000000008</v>
      </c>
      <c r="P10" s="122">
        <v>8</v>
      </c>
      <c r="Q10" s="120">
        <f>O10*P10</f>
        <v>4.8675000000000006</v>
      </c>
      <c r="R10" s="120">
        <f>Q10*1.8</f>
        <v>8.7615000000000016</v>
      </c>
      <c r="S10" s="300" t="s">
        <v>191</v>
      </c>
      <c r="Z10" s="161">
        <v>0.25</v>
      </c>
    </row>
    <row r="11" spans="1:26" ht="22.9" customHeight="1" x14ac:dyDescent="0.25">
      <c r="A11" s="254">
        <v>2</v>
      </c>
      <c r="B11" s="296" t="s">
        <v>255</v>
      </c>
      <c r="C11" s="297">
        <v>3.33</v>
      </c>
      <c r="D11" s="120">
        <v>3.66</v>
      </c>
      <c r="E11" s="120">
        <f>D11-C11</f>
        <v>0.33000000000000007</v>
      </c>
      <c r="F11" s="298"/>
      <c r="G11" s="298"/>
      <c r="H11" s="298"/>
      <c r="I11" s="298"/>
      <c r="J11" s="298"/>
      <c r="K11" s="120">
        <f t="shared" ref="K11" si="2">L11+M11</f>
        <v>6.6000000000000017E-2</v>
      </c>
      <c r="L11" s="120">
        <f t="shared" ref="L11" si="3">E11*Y11</f>
        <v>0</v>
      </c>
      <c r="M11" s="299">
        <f>(E11+J11)*20%</f>
        <v>6.6000000000000017E-2</v>
      </c>
      <c r="N11" s="299">
        <f t="shared" ref="N11" si="4">(E11+J11+L11)*23.5%</f>
        <v>7.7550000000000008E-2</v>
      </c>
      <c r="O11" s="299">
        <f t="shared" ref="O11" si="5">E11+J11+K11+N11</f>
        <v>0.47355000000000008</v>
      </c>
      <c r="P11" s="122">
        <v>8</v>
      </c>
      <c r="Q11" s="120">
        <f>O11*P11</f>
        <v>3.7884000000000007</v>
      </c>
      <c r="R11" s="120">
        <f t="shared" ref="R11:R24" si="6">Q11*1.8</f>
        <v>6.8191200000000016</v>
      </c>
      <c r="S11" s="300" t="s">
        <v>191</v>
      </c>
      <c r="Z11" s="161">
        <v>0</v>
      </c>
    </row>
    <row r="12" spans="1:26" ht="22.9" customHeight="1" x14ac:dyDescent="0.25">
      <c r="A12" s="254">
        <v>3</v>
      </c>
      <c r="B12" s="296" t="s">
        <v>250</v>
      </c>
      <c r="C12" s="301">
        <v>3</v>
      </c>
      <c r="D12" s="120">
        <f>C12+0.33</f>
        <v>3.33</v>
      </c>
      <c r="E12" s="120">
        <f t="shared" si="1"/>
        <v>0.33000000000000007</v>
      </c>
      <c r="F12" s="298"/>
      <c r="G12" s="298"/>
      <c r="H12" s="298"/>
      <c r="I12" s="298"/>
      <c r="J12" s="298"/>
      <c r="K12" s="120">
        <f t="shared" ref="K12:K24" si="7">L12+M12</f>
        <v>0.12870000000000004</v>
      </c>
      <c r="L12" s="120">
        <f t="shared" ref="L12:L24" si="8">E12*Z12</f>
        <v>2.9700000000000004E-2</v>
      </c>
      <c r="M12" s="299">
        <f t="shared" ref="M12:M24" si="9">(E12+J12)*30%</f>
        <v>9.9000000000000019E-2</v>
      </c>
      <c r="N12" s="299">
        <f t="shared" ref="N12:N24" si="10">(E12+J12+L12)*23.5%</f>
        <v>8.4529500000000007E-2</v>
      </c>
      <c r="O12" s="299">
        <f t="shared" ref="O12:O24" si="11">E12+J12+K12+N12</f>
        <v>0.54322950000000014</v>
      </c>
      <c r="P12" s="122">
        <v>8</v>
      </c>
      <c r="Q12" s="120">
        <f>O12*P12</f>
        <v>4.3458360000000011</v>
      </c>
      <c r="R12" s="120">
        <f t="shared" si="6"/>
        <v>7.8225048000000026</v>
      </c>
      <c r="S12" s="300" t="s">
        <v>191</v>
      </c>
      <c r="Z12" s="161">
        <v>0.09</v>
      </c>
    </row>
    <row r="13" spans="1:26" ht="22.9" customHeight="1" x14ac:dyDescent="0.25">
      <c r="A13" s="254">
        <v>4</v>
      </c>
      <c r="B13" s="302" t="s">
        <v>221</v>
      </c>
      <c r="C13" s="303">
        <v>4.32</v>
      </c>
      <c r="D13" s="120">
        <f>C13+0.33</f>
        <v>4.6500000000000004</v>
      </c>
      <c r="E13" s="120">
        <f t="shared" si="1"/>
        <v>0.33000000000000007</v>
      </c>
      <c r="F13" s="298"/>
      <c r="G13" s="298"/>
      <c r="H13" s="298"/>
      <c r="I13" s="298"/>
      <c r="J13" s="298"/>
      <c r="K13" s="120">
        <f t="shared" si="7"/>
        <v>0.14190000000000003</v>
      </c>
      <c r="L13" s="120">
        <f t="shared" si="8"/>
        <v>4.2900000000000008E-2</v>
      </c>
      <c r="M13" s="299">
        <f t="shared" si="9"/>
        <v>9.9000000000000019E-2</v>
      </c>
      <c r="N13" s="299">
        <f t="shared" si="10"/>
        <v>8.7631500000000015E-2</v>
      </c>
      <c r="O13" s="299">
        <f t="shared" si="11"/>
        <v>0.55953150000000007</v>
      </c>
      <c r="P13" s="122">
        <v>6</v>
      </c>
      <c r="Q13" s="120">
        <f t="shared" ref="Q13:Q24" si="12">O13*P13</f>
        <v>3.3571890000000004</v>
      </c>
      <c r="R13" s="120">
        <f t="shared" si="6"/>
        <v>6.0429402000000012</v>
      </c>
      <c r="S13" s="300" t="s">
        <v>264</v>
      </c>
      <c r="Z13" s="161">
        <v>0.13</v>
      </c>
    </row>
    <row r="14" spans="1:26" ht="22.9" customHeight="1" x14ac:dyDescent="0.25">
      <c r="A14" s="254">
        <v>5</v>
      </c>
      <c r="B14" s="302" t="s">
        <v>223</v>
      </c>
      <c r="C14" s="303">
        <v>4.68</v>
      </c>
      <c r="D14" s="120">
        <f>C14+0.34</f>
        <v>5.0199999999999996</v>
      </c>
      <c r="E14" s="120">
        <f t="shared" si="1"/>
        <v>0.33999999999999986</v>
      </c>
      <c r="F14" s="298"/>
      <c r="G14" s="298"/>
      <c r="H14" s="298"/>
      <c r="I14" s="298"/>
      <c r="J14" s="298"/>
      <c r="K14" s="120">
        <f t="shared" si="7"/>
        <v>0.17339999999999992</v>
      </c>
      <c r="L14" s="120">
        <f t="shared" si="8"/>
        <v>7.1399999999999963E-2</v>
      </c>
      <c r="M14" s="299">
        <f t="shared" si="9"/>
        <v>0.10199999999999995</v>
      </c>
      <c r="N14" s="299">
        <f t="shared" si="10"/>
        <v>9.6678999999999959E-2</v>
      </c>
      <c r="O14" s="299">
        <f t="shared" si="11"/>
        <v>0.6100789999999997</v>
      </c>
      <c r="P14" s="122">
        <v>6</v>
      </c>
      <c r="Q14" s="120">
        <f t="shared" si="12"/>
        <v>3.660473999999998</v>
      </c>
      <c r="R14" s="120">
        <f t="shared" si="6"/>
        <v>6.5888531999999964</v>
      </c>
      <c r="S14" s="300" t="s">
        <v>264</v>
      </c>
      <c r="Z14" s="161">
        <v>0.21</v>
      </c>
    </row>
    <row r="15" spans="1:26" ht="22.9" customHeight="1" x14ac:dyDescent="0.25">
      <c r="A15" s="254">
        <v>6</v>
      </c>
      <c r="B15" s="302" t="s">
        <v>235</v>
      </c>
      <c r="C15" s="303">
        <v>4.58</v>
      </c>
      <c r="D15" s="120">
        <f>C15+0.31</f>
        <v>4.8899999999999997</v>
      </c>
      <c r="E15" s="120">
        <f t="shared" si="1"/>
        <v>0.30999999999999961</v>
      </c>
      <c r="F15" s="298"/>
      <c r="G15" s="298"/>
      <c r="H15" s="298"/>
      <c r="I15" s="298"/>
      <c r="J15" s="298"/>
      <c r="K15" s="120">
        <f t="shared" si="7"/>
        <v>0.17669999999999977</v>
      </c>
      <c r="L15" s="120">
        <f t="shared" si="8"/>
        <v>8.3699999999999899E-2</v>
      </c>
      <c r="M15" s="299">
        <f t="shared" si="9"/>
        <v>9.2999999999999874E-2</v>
      </c>
      <c r="N15" s="299">
        <f t="shared" si="10"/>
        <v>9.251949999999988E-2</v>
      </c>
      <c r="O15" s="299">
        <f t="shared" si="11"/>
        <v>0.57921949999999922</v>
      </c>
      <c r="P15" s="122">
        <v>6</v>
      </c>
      <c r="Q15" s="120">
        <f t="shared" si="12"/>
        <v>3.4753169999999951</v>
      </c>
      <c r="R15" s="120">
        <f t="shared" si="6"/>
        <v>6.2555705999999915</v>
      </c>
      <c r="S15" s="300" t="s">
        <v>264</v>
      </c>
      <c r="Z15" s="161">
        <v>0.27</v>
      </c>
    </row>
    <row r="16" spans="1:26" ht="22.9" customHeight="1" x14ac:dyDescent="0.25">
      <c r="A16" s="254">
        <v>7</v>
      </c>
      <c r="B16" s="302" t="s">
        <v>240</v>
      </c>
      <c r="C16" s="303">
        <v>4</v>
      </c>
      <c r="D16" s="120">
        <v>4.34</v>
      </c>
      <c r="E16" s="120">
        <f t="shared" si="1"/>
        <v>0.33999999999999986</v>
      </c>
      <c r="F16" s="298"/>
      <c r="G16" s="298"/>
      <c r="H16" s="298"/>
      <c r="I16" s="298"/>
      <c r="J16" s="298"/>
      <c r="K16" s="120">
        <f t="shared" si="7"/>
        <v>0.15979999999999994</v>
      </c>
      <c r="L16" s="120">
        <f t="shared" si="8"/>
        <v>5.7799999999999983E-2</v>
      </c>
      <c r="M16" s="299">
        <f t="shared" si="9"/>
        <v>0.10199999999999995</v>
      </c>
      <c r="N16" s="299">
        <f t="shared" si="10"/>
        <v>9.3482999999999955E-2</v>
      </c>
      <c r="O16" s="299">
        <f t="shared" si="11"/>
        <v>0.59328299999999978</v>
      </c>
      <c r="P16" s="122">
        <v>6</v>
      </c>
      <c r="Q16" s="120">
        <f t="shared" si="12"/>
        <v>3.5596979999999987</v>
      </c>
      <c r="R16" s="120">
        <f t="shared" si="6"/>
        <v>6.4074563999999974</v>
      </c>
      <c r="S16" s="300" t="s">
        <v>264</v>
      </c>
      <c r="Z16" s="161">
        <v>0.17</v>
      </c>
    </row>
    <row r="17" spans="1:26" ht="22.9" customHeight="1" x14ac:dyDescent="0.25">
      <c r="A17" s="254">
        <v>8</v>
      </c>
      <c r="B17" s="302" t="s">
        <v>257</v>
      </c>
      <c r="C17" s="297">
        <v>4</v>
      </c>
      <c r="D17" s="120">
        <f>C17+0.34</f>
        <v>4.34</v>
      </c>
      <c r="E17" s="120">
        <f t="shared" ref="E17" si="13">D17-C17</f>
        <v>0.33999999999999986</v>
      </c>
      <c r="F17" s="298"/>
      <c r="G17" s="298"/>
      <c r="H17" s="298"/>
      <c r="I17" s="298"/>
      <c r="J17" s="298"/>
      <c r="K17" s="120">
        <f t="shared" ref="K17" si="14">L17+M17</f>
        <v>0.15639999999999993</v>
      </c>
      <c r="L17" s="120">
        <f t="shared" ref="L17" si="15">E17*Z17</f>
        <v>5.4399999999999976E-2</v>
      </c>
      <c r="M17" s="299">
        <f t="shared" ref="M17" si="16">(E17+J17)*30%</f>
        <v>0.10199999999999995</v>
      </c>
      <c r="N17" s="299">
        <f t="shared" ref="N17" si="17">(E17+J17+L17)*23.5%</f>
        <v>9.2683999999999961E-2</v>
      </c>
      <c r="O17" s="299">
        <f t="shared" ref="O17" si="18">E17+J17+K17+N17</f>
        <v>0.58908399999999972</v>
      </c>
      <c r="P17" s="122">
        <v>5</v>
      </c>
      <c r="Q17" s="120">
        <f t="shared" ref="Q17" si="19">O17*P17</f>
        <v>2.9454199999999986</v>
      </c>
      <c r="R17" s="120">
        <f t="shared" si="6"/>
        <v>5.3017559999999975</v>
      </c>
      <c r="S17" s="300" t="s">
        <v>183</v>
      </c>
      <c r="Z17" s="161">
        <v>0.16</v>
      </c>
    </row>
    <row r="18" spans="1:26" ht="22.9" customHeight="1" x14ac:dyDescent="0.25">
      <c r="A18" s="254">
        <v>9</v>
      </c>
      <c r="B18" s="302" t="s">
        <v>224</v>
      </c>
      <c r="C18" s="303">
        <v>4</v>
      </c>
      <c r="D18" s="120">
        <v>4.34</v>
      </c>
      <c r="E18" s="120">
        <f t="shared" si="1"/>
        <v>0.33999999999999986</v>
      </c>
      <c r="F18" s="298"/>
      <c r="G18" s="298"/>
      <c r="H18" s="298"/>
      <c r="I18" s="298"/>
      <c r="J18" s="298"/>
      <c r="K18" s="120">
        <f t="shared" si="7"/>
        <v>0.14959999999999993</v>
      </c>
      <c r="L18" s="120">
        <f t="shared" si="8"/>
        <v>4.7599999999999983E-2</v>
      </c>
      <c r="M18" s="299">
        <f t="shared" si="9"/>
        <v>0.10199999999999995</v>
      </c>
      <c r="N18" s="299">
        <f t="shared" si="10"/>
        <v>9.1085999999999959E-2</v>
      </c>
      <c r="O18" s="299">
        <f t="shared" si="11"/>
        <v>0.58068599999999981</v>
      </c>
      <c r="P18" s="122">
        <v>5</v>
      </c>
      <c r="Q18" s="120">
        <f t="shared" si="12"/>
        <v>2.9034299999999993</v>
      </c>
      <c r="R18" s="120">
        <f t="shared" si="6"/>
        <v>5.2261739999999985</v>
      </c>
      <c r="S18" s="300" t="s">
        <v>183</v>
      </c>
      <c r="Z18" s="161">
        <v>0.14000000000000001</v>
      </c>
    </row>
    <row r="19" spans="1:26" ht="22.9" customHeight="1" x14ac:dyDescent="0.25">
      <c r="A19" s="254">
        <v>10</v>
      </c>
      <c r="B19" s="302" t="s">
        <v>230</v>
      </c>
      <c r="C19" s="297">
        <v>4.68</v>
      </c>
      <c r="D19" s="120">
        <f>C19+0.34</f>
        <v>5.0199999999999996</v>
      </c>
      <c r="E19" s="120">
        <f t="shared" si="1"/>
        <v>0.33999999999999986</v>
      </c>
      <c r="F19" s="298"/>
      <c r="G19" s="298"/>
      <c r="H19" s="298"/>
      <c r="I19" s="298"/>
      <c r="J19" s="298"/>
      <c r="K19" s="120">
        <f t="shared" si="7"/>
        <v>0.1767999999999999</v>
      </c>
      <c r="L19" s="120">
        <f t="shared" si="8"/>
        <v>7.4799999999999964E-2</v>
      </c>
      <c r="M19" s="299">
        <f t="shared" si="9"/>
        <v>0.10199999999999995</v>
      </c>
      <c r="N19" s="299">
        <f t="shared" si="10"/>
        <v>9.7477999999999954E-2</v>
      </c>
      <c r="O19" s="299">
        <f t="shared" si="11"/>
        <v>0.61427799999999966</v>
      </c>
      <c r="P19" s="122">
        <v>5</v>
      </c>
      <c r="Q19" s="120">
        <f t="shared" si="12"/>
        <v>3.0713899999999983</v>
      </c>
      <c r="R19" s="120">
        <f t="shared" si="6"/>
        <v>5.5285019999999969</v>
      </c>
      <c r="S19" s="300" t="s">
        <v>183</v>
      </c>
      <c r="Z19" s="161">
        <v>0.22</v>
      </c>
    </row>
    <row r="20" spans="1:26" ht="22.9" customHeight="1" x14ac:dyDescent="0.25">
      <c r="A20" s="254">
        <v>11</v>
      </c>
      <c r="B20" s="302" t="s">
        <v>241</v>
      </c>
      <c r="C20" s="303">
        <v>4</v>
      </c>
      <c r="D20" s="120">
        <f>C20+0.34</f>
        <v>4.34</v>
      </c>
      <c r="E20" s="120">
        <f t="shared" si="1"/>
        <v>0.33999999999999986</v>
      </c>
      <c r="F20" s="298"/>
      <c r="G20" s="298"/>
      <c r="H20" s="298"/>
      <c r="I20" s="298"/>
      <c r="J20" s="298"/>
      <c r="K20" s="120">
        <f t="shared" si="7"/>
        <v>0.15979999999999994</v>
      </c>
      <c r="L20" s="120">
        <f t="shared" si="8"/>
        <v>5.7799999999999983E-2</v>
      </c>
      <c r="M20" s="299">
        <f t="shared" si="9"/>
        <v>0.10199999999999995</v>
      </c>
      <c r="N20" s="299"/>
      <c r="O20" s="299">
        <f t="shared" si="11"/>
        <v>0.4997999999999998</v>
      </c>
      <c r="P20" s="122">
        <v>5</v>
      </c>
      <c r="Q20" s="120">
        <f t="shared" si="12"/>
        <v>2.4989999999999988</v>
      </c>
      <c r="R20" s="120">
        <f t="shared" si="6"/>
        <v>4.498199999999998</v>
      </c>
      <c r="S20" s="300" t="s">
        <v>183</v>
      </c>
      <c r="Z20" s="161">
        <v>0.17</v>
      </c>
    </row>
    <row r="21" spans="1:26" ht="22.9" customHeight="1" x14ac:dyDescent="0.25">
      <c r="A21" s="254">
        <v>12</v>
      </c>
      <c r="B21" s="302" t="s">
        <v>243</v>
      </c>
      <c r="C21" s="297">
        <v>3.66</v>
      </c>
      <c r="D21" s="120">
        <f>C21+0.33</f>
        <v>3.99</v>
      </c>
      <c r="E21" s="120">
        <f t="shared" si="1"/>
        <v>0.33000000000000007</v>
      </c>
      <c r="F21" s="298"/>
      <c r="G21" s="298"/>
      <c r="H21" s="298"/>
      <c r="I21" s="298"/>
      <c r="J21" s="298"/>
      <c r="K21" s="120">
        <f t="shared" si="7"/>
        <v>0.15510000000000004</v>
      </c>
      <c r="L21" s="120">
        <f t="shared" si="8"/>
        <v>5.6100000000000018E-2</v>
      </c>
      <c r="M21" s="299">
        <f t="shared" si="9"/>
        <v>9.9000000000000019E-2</v>
      </c>
      <c r="N21" s="299">
        <f t="shared" si="10"/>
        <v>9.0733500000000022E-2</v>
      </c>
      <c r="O21" s="299">
        <f t="shared" si="11"/>
        <v>0.57583350000000011</v>
      </c>
      <c r="P21" s="122">
        <v>5</v>
      </c>
      <c r="Q21" s="120">
        <f t="shared" si="12"/>
        <v>2.8791675000000003</v>
      </c>
      <c r="R21" s="120">
        <f t="shared" si="6"/>
        <v>5.1825015000000008</v>
      </c>
      <c r="S21" s="300" t="s">
        <v>183</v>
      </c>
      <c r="Z21" s="161">
        <v>0.17</v>
      </c>
    </row>
    <row r="22" spans="1:26" ht="22.9" customHeight="1" x14ac:dyDescent="0.25">
      <c r="A22" s="254">
        <v>13</v>
      </c>
      <c r="B22" s="302" t="s">
        <v>246</v>
      </c>
      <c r="C22" s="303">
        <v>4</v>
      </c>
      <c r="D22" s="120">
        <v>4.34</v>
      </c>
      <c r="E22" s="120">
        <f t="shared" si="1"/>
        <v>0.33999999999999986</v>
      </c>
      <c r="F22" s="298"/>
      <c r="G22" s="298"/>
      <c r="H22" s="298"/>
      <c r="I22" s="298"/>
      <c r="J22" s="298"/>
      <c r="K22" s="120">
        <f t="shared" si="7"/>
        <v>0.14279999999999993</v>
      </c>
      <c r="L22" s="120">
        <f t="shared" si="8"/>
        <v>4.0799999999999982E-2</v>
      </c>
      <c r="M22" s="299">
        <f t="shared" si="9"/>
        <v>0.10199999999999995</v>
      </c>
      <c r="N22" s="299">
        <f t="shared" si="10"/>
        <v>8.9487999999999956E-2</v>
      </c>
      <c r="O22" s="299">
        <f t="shared" si="11"/>
        <v>0.57228799999999969</v>
      </c>
      <c r="P22" s="122">
        <v>5</v>
      </c>
      <c r="Q22" s="120">
        <f t="shared" si="12"/>
        <v>2.8614399999999982</v>
      </c>
      <c r="R22" s="120">
        <f t="shared" si="6"/>
        <v>5.150591999999997</v>
      </c>
      <c r="S22" s="300" t="s">
        <v>183</v>
      </c>
      <c r="Z22" s="161">
        <v>0.12</v>
      </c>
    </row>
    <row r="23" spans="1:26" ht="22.9" customHeight="1" x14ac:dyDescent="0.25">
      <c r="A23" s="254">
        <v>14</v>
      </c>
      <c r="B23" s="302" t="s">
        <v>247</v>
      </c>
      <c r="C23" s="297">
        <v>4.68</v>
      </c>
      <c r="D23" s="120">
        <f>C23+0.34</f>
        <v>5.0199999999999996</v>
      </c>
      <c r="E23" s="120">
        <f t="shared" si="1"/>
        <v>0.33999999999999986</v>
      </c>
      <c r="F23" s="298"/>
      <c r="G23" s="298"/>
      <c r="H23" s="298"/>
      <c r="I23" s="298"/>
      <c r="J23" s="298"/>
      <c r="K23" s="120">
        <f t="shared" si="7"/>
        <v>0.18359999999999993</v>
      </c>
      <c r="L23" s="120">
        <f t="shared" si="8"/>
        <v>8.1599999999999964E-2</v>
      </c>
      <c r="M23" s="299">
        <f t="shared" si="9"/>
        <v>0.10199999999999995</v>
      </c>
      <c r="N23" s="299">
        <f t="shared" si="10"/>
        <v>9.9075999999999956E-2</v>
      </c>
      <c r="O23" s="299">
        <f t="shared" si="11"/>
        <v>0.62267599999999979</v>
      </c>
      <c r="P23" s="122">
        <v>5</v>
      </c>
      <c r="Q23" s="120">
        <f t="shared" si="12"/>
        <v>3.1133799999999989</v>
      </c>
      <c r="R23" s="120">
        <f t="shared" si="6"/>
        <v>5.6040839999999985</v>
      </c>
      <c r="S23" s="300" t="s">
        <v>183</v>
      </c>
      <c r="Z23" s="161">
        <v>0.24</v>
      </c>
    </row>
    <row r="24" spans="1:26" ht="22.9" customHeight="1" x14ac:dyDescent="0.25">
      <c r="A24" s="254">
        <v>15</v>
      </c>
      <c r="B24" s="302" t="s">
        <v>233</v>
      </c>
      <c r="C24" s="297">
        <v>4.8899999999999997</v>
      </c>
      <c r="D24" s="120">
        <f>C24+0.31</f>
        <v>5.1999999999999993</v>
      </c>
      <c r="E24" s="120">
        <f t="shared" si="1"/>
        <v>0.30999999999999961</v>
      </c>
      <c r="F24" s="298"/>
      <c r="G24" s="298"/>
      <c r="H24" s="298"/>
      <c r="I24" s="298"/>
      <c r="J24" s="298"/>
      <c r="K24" s="120">
        <f t="shared" si="7"/>
        <v>0.18289999999999976</v>
      </c>
      <c r="L24" s="120">
        <f t="shared" si="8"/>
        <v>8.9899999999999883E-2</v>
      </c>
      <c r="M24" s="299">
        <f t="shared" si="9"/>
        <v>9.2999999999999874E-2</v>
      </c>
      <c r="N24" s="299">
        <f t="shared" si="10"/>
        <v>9.3976499999999866E-2</v>
      </c>
      <c r="O24" s="299">
        <f t="shared" si="11"/>
        <v>0.58687649999999925</v>
      </c>
      <c r="P24" s="122">
        <v>2</v>
      </c>
      <c r="Q24" s="120">
        <f t="shared" si="12"/>
        <v>1.1737529999999985</v>
      </c>
      <c r="R24" s="120">
        <f t="shared" si="6"/>
        <v>2.1127553999999975</v>
      </c>
      <c r="S24" s="300" t="s">
        <v>182</v>
      </c>
      <c r="Z24" s="161">
        <v>0.28999999999999998</v>
      </c>
    </row>
    <row r="26" spans="1:26" ht="18.75" x14ac:dyDescent="0.3">
      <c r="A26" s="256"/>
      <c r="B26" s="256"/>
      <c r="C26" s="256"/>
      <c r="D26" s="256"/>
      <c r="E26" s="256"/>
      <c r="F26" s="256"/>
      <c r="G26" s="256"/>
      <c r="H26" s="256"/>
      <c r="I26" s="256"/>
      <c r="J26" s="353" t="s">
        <v>265</v>
      </c>
      <c r="K26" s="353"/>
      <c r="L26" s="353"/>
      <c r="M26" s="353"/>
      <c r="N26" s="353"/>
      <c r="O26" s="353"/>
      <c r="P26" s="353"/>
      <c r="Q26" s="353"/>
      <c r="R26" s="353"/>
      <c r="S26" s="353"/>
    </row>
    <row r="27" spans="1:26" ht="18.75" x14ac:dyDescent="0.3">
      <c r="A27" s="351" t="s">
        <v>155</v>
      </c>
      <c r="B27" s="351"/>
      <c r="C27" s="351"/>
      <c r="D27" s="256"/>
      <c r="E27" s="256"/>
      <c r="F27" s="256"/>
      <c r="G27" s="256"/>
      <c r="H27" s="256"/>
      <c r="I27" s="256"/>
      <c r="J27" s="351" t="s">
        <v>71</v>
      </c>
      <c r="K27" s="351"/>
      <c r="L27" s="351"/>
      <c r="M27" s="351"/>
      <c r="N27" s="351"/>
      <c r="O27" s="351"/>
      <c r="P27" s="351"/>
      <c r="Q27" s="351"/>
      <c r="R27" s="351"/>
      <c r="S27" s="351"/>
    </row>
    <row r="28" spans="1:26" ht="18.75" x14ac:dyDescent="0.3">
      <c r="A28" s="257"/>
      <c r="B28" s="257"/>
      <c r="C28" s="256"/>
      <c r="D28" s="256"/>
      <c r="E28" s="256"/>
      <c r="F28" s="256"/>
      <c r="G28" s="256"/>
      <c r="H28" s="256"/>
      <c r="I28" s="256"/>
      <c r="J28" s="256"/>
      <c r="K28" s="256"/>
      <c r="L28" s="256"/>
      <c r="M28" s="256"/>
      <c r="N28" s="258"/>
      <c r="O28" s="259"/>
      <c r="P28" s="259"/>
      <c r="Q28" s="259"/>
      <c r="R28" s="259"/>
      <c r="S28" s="259"/>
    </row>
    <row r="29" spans="1:26" ht="18.75" x14ac:dyDescent="0.3">
      <c r="A29" s="257"/>
      <c r="B29" s="257"/>
      <c r="C29" s="256"/>
      <c r="D29" s="256"/>
      <c r="E29" s="256"/>
      <c r="F29" s="256"/>
      <c r="G29" s="256"/>
      <c r="H29" s="256"/>
      <c r="I29" s="256"/>
      <c r="J29" s="256"/>
      <c r="K29" s="256"/>
      <c r="L29" s="256"/>
      <c r="M29" s="256"/>
      <c r="N29" s="257"/>
      <c r="O29" s="257"/>
      <c r="P29" s="257"/>
      <c r="Q29" s="257"/>
      <c r="R29" s="257"/>
      <c r="S29" s="257"/>
    </row>
    <row r="30" spans="1:26" ht="18.75" x14ac:dyDescent="0.3">
      <c r="A30" s="257"/>
      <c r="B30" s="257"/>
      <c r="C30" s="256"/>
      <c r="D30" s="256"/>
      <c r="E30" s="256"/>
      <c r="F30" s="256"/>
      <c r="G30" s="256"/>
      <c r="H30" s="256"/>
      <c r="I30" s="256"/>
      <c r="J30" s="256"/>
      <c r="K30" s="256"/>
      <c r="L30" s="256"/>
      <c r="M30" s="256"/>
      <c r="N30" s="257"/>
      <c r="O30" s="257"/>
      <c r="P30" s="257"/>
      <c r="Q30" s="257"/>
      <c r="R30" s="257"/>
      <c r="S30" s="257"/>
    </row>
    <row r="31" spans="1:26" ht="18.75" x14ac:dyDescent="0.3">
      <c r="A31" s="257"/>
      <c r="B31" s="257"/>
      <c r="C31" s="256"/>
      <c r="D31" s="256"/>
      <c r="E31" s="256"/>
      <c r="F31" s="256"/>
      <c r="G31" s="256"/>
      <c r="H31" s="256"/>
      <c r="I31" s="256"/>
      <c r="J31" s="256"/>
      <c r="K31" s="256"/>
      <c r="L31" s="256"/>
      <c r="M31" s="256"/>
      <c r="N31" s="257"/>
      <c r="O31" s="257"/>
      <c r="P31" s="257"/>
      <c r="Q31" s="257"/>
      <c r="R31" s="257"/>
      <c r="S31" s="257"/>
    </row>
    <row r="32" spans="1:26" ht="18.75" x14ac:dyDescent="0.3">
      <c r="A32" s="257"/>
      <c r="B32" s="257"/>
      <c r="C32" s="256"/>
      <c r="D32" s="256"/>
      <c r="E32" s="256"/>
      <c r="F32" s="256"/>
      <c r="G32" s="256"/>
      <c r="H32" s="256"/>
      <c r="I32" s="256"/>
      <c r="J32" s="256"/>
      <c r="K32" s="256"/>
      <c r="L32" s="256"/>
      <c r="M32" s="256"/>
      <c r="N32" s="257"/>
      <c r="O32" s="257"/>
      <c r="P32" s="257"/>
      <c r="Q32" s="257"/>
      <c r="R32" s="257"/>
      <c r="S32" s="257"/>
    </row>
    <row r="33" spans="1:19" ht="18.75" x14ac:dyDescent="0.3">
      <c r="A33" s="352" t="s">
        <v>258</v>
      </c>
      <c r="B33" s="352"/>
      <c r="C33" s="352"/>
      <c r="D33" s="260"/>
      <c r="E33" s="260"/>
      <c r="F33" s="260"/>
      <c r="G33" s="260"/>
      <c r="H33" s="260"/>
      <c r="I33" s="260"/>
      <c r="J33" s="352" t="s">
        <v>219</v>
      </c>
      <c r="K33" s="352"/>
      <c r="L33" s="352"/>
      <c r="M33" s="352"/>
      <c r="N33" s="352"/>
      <c r="O33" s="352"/>
      <c r="P33" s="352"/>
      <c r="Q33" s="352"/>
      <c r="R33" s="352"/>
      <c r="S33" s="352"/>
    </row>
  </sheetData>
  <mergeCells count="23">
    <mergeCell ref="A27:C27"/>
    <mergeCell ref="J27:S27"/>
    <mergeCell ref="A33:C33"/>
    <mergeCell ref="J33:S33"/>
    <mergeCell ref="L6:M6"/>
    <mergeCell ref="O6:O7"/>
    <mergeCell ref="J26:S26"/>
    <mergeCell ref="A1:D1"/>
    <mergeCell ref="A2:D2"/>
    <mergeCell ref="A4:S4"/>
    <mergeCell ref="A5:A7"/>
    <mergeCell ref="B5:B7"/>
    <mergeCell ref="C5:O5"/>
    <mergeCell ref="P5:P7"/>
    <mergeCell ref="Q5:Q7"/>
    <mergeCell ref="R5:R7"/>
    <mergeCell ref="S5:S7"/>
    <mergeCell ref="C6:C7"/>
    <mergeCell ref="D6:D7"/>
    <mergeCell ref="E6:E7"/>
    <mergeCell ref="F6:J6"/>
    <mergeCell ref="K6:K7"/>
    <mergeCell ref="N6:N7"/>
  </mergeCells>
  <pageMargins left="0.24" right="0.2" top="0.34" bottom="0.2" header="0.38" footer="0.31496062992125984"/>
  <pageSetup paperSize="9" orientation="landscape"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3" zoomScale="71" zoomScaleNormal="71" workbookViewId="0">
      <selection activeCell="AM23" sqref="AM23"/>
    </sheetView>
  </sheetViews>
  <sheetFormatPr defaultColWidth="8.85546875" defaultRowHeight="15" x14ac:dyDescent="0.25"/>
  <cols>
    <col min="1" max="1" width="5.140625" style="97" customWidth="1"/>
    <col min="2" max="2" width="24.28515625" style="97" customWidth="1"/>
    <col min="3" max="3" width="6.140625" style="97" customWidth="1"/>
    <col min="4" max="4" width="6.85546875" style="97" customWidth="1"/>
    <col min="5" max="5" width="7.28515625" style="97" customWidth="1"/>
    <col min="6" max="6" width="4.140625" style="97" customWidth="1"/>
    <col min="7" max="7" width="4.5703125" style="97" customWidth="1"/>
    <col min="8" max="8" width="5.85546875" style="97" customWidth="1"/>
    <col min="9" max="9" width="5.7109375" style="97" customWidth="1"/>
    <col min="10" max="10" width="5.42578125" style="97" customWidth="1"/>
    <col min="11" max="11" width="6.5703125" style="97" customWidth="1"/>
    <col min="12" max="12" width="8.140625" style="97" customWidth="1"/>
    <col min="13" max="13" width="7.28515625" style="97" customWidth="1"/>
    <col min="14" max="14" width="7.5703125" style="97" customWidth="1"/>
    <col min="15" max="15" width="6.7109375" style="97" customWidth="1"/>
    <col min="16" max="16" width="5.28515625" style="97" customWidth="1"/>
    <col min="17" max="17" width="7.85546875" style="97" customWidth="1"/>
    <col min="18" max="18" width="7.7109375" style="97" customWidth="1"/>
    <col min="19" max="19" width="10.5703125" style="97" customWidth="1"/>
    <col min="20" max="33" width="0" style="97" hidden="1" customWidth="1"/>
    <col min="34" max="16384" width="8.85546875" style="97"/>
  </cols>
  <sheetData>
    <row r="1" spans="1:25" ht="15.75" x14ac:dyDescent="0.25">
      <c r="A1" s="345" t="s">
        <v>74</v>
      </c>
      <c r="B1" s="345"/>
      <c r="C1" s="345"/>
      <c r="D1" s="345"/>
      <c r="E1" s="100"/>
      <c r="F1" s="105"/>
      <c r="G1" s="105"/>
      <c r="H1" s="105"/>
      <c r="I1" s="101"/>
      <c r="J1" s="101"/>
      <c r="K1" s="101"/>
      <c r="L1" s="101"/>
      <c r="M1" s="101"/>
      <c r="N1" s="101"/>
      <c r="O1" s="101"/>
      <c r="P1" s="101"/>
      <c r="S1" s="95" t="s">
        <v>156</v>
      </c>
    </row>
    <row r="2" spans="1:25" ht="15.75" x14ac:dyDescent="0.25">
      <c r="A2" s="313" t="s">
        <v>263</v>
      </c>
      <c r="B2" s="313"/>
      <c r="C2" s="313"/>
      <c r="D2" s="313"/>
      <c r="E2" s="105"/>
      <c r="F2" s="105"/>
      <c r="G2" s="105"/>
      <c r="H2" s="105"/>
      <c r="I2" s="101"/>
      <c r="J2" s="101"/>
      <c r="K2" s="101"/>
      <c r="L2" s="101"/>
      <c r="M2" s="101"/>
      <c r="N2" s="101"/>
      <c r="O2" s="101"/>
      <c r="P2" s="101"/>
      <c r="Q2" s="106"/>
    </row>
    <row r="3" spans="1:25" ht="6.6" customHeight="1" x14ac:dyDescent="0.25">
      <c r="A3" s="153"/>
      <c r="B3" s="153"/>
      <c r="C3" s="153"/>
      <c r="D3" s="153"/>
      <c r="E3" s="105"/>
      <c r="F3" s="105"/>
      <c r="G3" s="105"/>
      <c r="H3" s="105"/>
      <c r="I3" s="101"/>
      <c r="J3" s="101"/>
      <c r="K3" s="101"/>
      <c r="L3" s="101"/>
      <c r="M3" s="101"/>
      <c r="N3" s="101"/>
      <c r="O3" s="101"/>
      <c r="P3" s="101"/>
      <c r="Q3" s="106"/>
    </row>
    <row r="4" spans="1:25" ht="17.45" customHeight="1" x14ac:dyDescent="0.3">
      <c r="A4" s="355" t="s">
        <v>168</v>
      </c>
      <c r="B4" s="355"/>
      <c r="C4" s="355"/>
      <c r="D4" s="355"/>
      <c r="E4" s="355"/>
      <c r="F4" s="355"/>
      <c r="G4" s="355"/>
      <c r="H4" s="355"/>
      <c r="I4" s="355"/>
      <c r="J4" s="355"/>
      <c r="K4" s="355"/>
      <c r="L4" s="355"/>
      <c r="M4" s="355"/>
      <c r="N4" s="355"/>
      <c r="O4" s="355"/>
      <c r="P4" s="355"/>
      <c r="Q4" s="355"/>
      <c r="R4" s="355"/>
      <c r="S4" s="355"/>
    </row>
    <row r="5" spans="1:25" ht="11.45" customHeight="1" x14ac:dyDescent="0.25">
      <c r="A5" s="107"/>
      <c r="B5" s="108"/>
      <c r="C5" s="109"/>
      <c r="D5" s="109"/>
      <c r="E5" s="109"/>
      <c r="F5" s="109"/>
      <c r="G5" s="109"/>
      <c r="H5" s="109"/>
      <c r="I5" s="109"/>
      <c r="J5" s="109"/>
      <c r="K5" s="109"/>
      <c r="L5" s="109"/>
      <c r="M5" s="109"/>
      <c r="N5" s="109"/>
      <c r="O5" s="109"/>
      <c r="P5" s="109"/>
      <c r="Q5" s="110"/>
    </row>
    <row r="6" spans="1:25" x14ac:dyDescent="0.25">
      <c r="A6" s="356" t="s">
        <v>90</v>
      </c>
      <c r="B6" s="356" t="s">
        <v>135</v>
      </c>
      <c r="C6" s="356" t="s">
        <v>157</v>
      </c>
      <c r="D6" s="356"/>
      <c r="E6" s="356"/>
      <c r="F6" s="356"/>
      <c r="G6" s="356"/>
      <c r="H6" s="356"/>
      <c r="I6" s="356"/>
      <c r="J6" s="356"/>
      <c r="K6" s="356"/>
      <c r="L6" s="356"/>
      <c r="M6" s="356"/>
      <c r="N6" s="356"/>
      <c r="O6" s="356"/>
      <c r="P6" s="354" t="s">
        <v>141</v>
      </c>
      <c r="Q6" s="354" t="s">
        <v>158</v>
      </c>
      <c r="R6" s="354" t="s">
        <v>175</v>
      </c>
      <c r="S6" s="357" t="s">
        <v>179</v>
      </c>
    </row>
    <row r="7" spans="1:25" x14ac:dyDescent="0.25">
      <c r="A7" s="356"/>
      <c r="B7" s="356"/>
      <c r="C7" s="354" t="s">
        <v>159</v>
      </c>
      <c r="D7" s="354" t="s">
        <v>160</v>
      </c>
      <c r="E7" s="354" t="s">
        <v>161</v>
      </c>
      <c r="F7" s="354" t="s">
        <v>176</v>
      </c>
      <c r="G7" s="354"/>
      <c r="H7" s="354"/>
      <c r="I7" s="354"/>
      <c r="J7" s="354"/>
      <c r="K7" s="354" t="s">
        <v>162</v>
      </c>
      <c r="L7" s="354" t="s">
        <v>163</v>
      </c>
      <c r="M7" s="354"/>
      <c r="N7" s="354" t="s">
        <v>147</v>
      </c>
      <c r="O7" s="354" t="s">
        <v>148</v>
      </c>
      <c r="P7" s="354"/>
      <c r="Q7" s="354"/>
      <c r="R7" s="354"/>
      <c r="S7" s="357"/>
    </row>
    <row r="8" spans="1:25" ht="63" customHeight="1" x14ac:dyDescent="0.25">
      <c r="A8" s="356"/>
      <c r="B8" s="356"/>
      <c r="C8" s="354"/>
      <c r="D8" s="354"/>
      <c r="E8" s="354"/>
      <c r="F8" s="154" t="s">
        <v>170</v>
      </c>
      <c r="G8" s="154" t="s">
        <v>171</v>
      </c>
      <c r="H8" s="154" t="s">
        <v>172</v>
      </c>
      <c r="I8" s="154" t="s">
        <v>173</v>
      </c>
      <c r="J8" s="154" t="s">
        <v>174</v>
      </c>
      <c r="K8" s="354"/>
      <c r="L8" s="154" t="s">
        <v>47</v>
      </c>
      <c r="M8" s="154" t="s">
        <v>51</v>
      </c>
      <c r="N8" s="354"/>
      <c r="O8" s="354"/>
      <c r="P8" s="354"/>
      <c r="Q8" s="354"/>
      <c r="R8" s="354"/>
      <c r="S8" s="357"/>
    </row>
    <row r="9" spans="1:25" ht="33" customHeight="1" x14ac:dyDescent="0.25">
      <c r="A9" s="111">
        <v>1</v>
      </c>
      <c r="B9" s="111">
        <v>2</v>
      </c>
      <c r="C9" s="112">
        <v>3</v>
      </c>
      <c r="D9" s="112">
        <v>4</v>
      </c>
      <c r="E9" s="112" t="s">
        <v>164</v>
      </c>
      <c r="F9" s="112">
        <v>6</v>
      </c>
      <c r="G9" s="112">
        <v>7</v>
      </c>
      <c r="H9" s="112">
        <v>8</v>
      </c>
      <c r="I9" s="112">
        <v>9</v>
      </c>
      <c r="J9" s="112">
        <v>10</v>
      </c>
      <c r="K9" s="112">
        <v>11</v>
      </c>
      <c r="L9" s="112" t="s">
        <v>177</v>
      </c>
      <c r="M9" s="112" t="s">
        <v>178</v>
      </c>
      <c r="N9" s="112" t="s">
        <v>186</v>
      </c>
      <c r="O9" s="112" t="s">
        <v>181</v>
      </c>
      <c r="P9" s="112">
        <v>16</v>
      </c>
      <c r="Q9" s="112" t="s">
        <v>180</v>
      </c>
      <c r="R9" s="112">
        <v>18</v>
      </c>
      <c r="S9" s="112">
        <v>19</v>
      </c>
    </row>
    <row r="10" spans="1:25" ht="18" customHeight="1" x14ac:dyDescent="0.25">
      <c r="A10" s="130"/>
      <c r="B10" s="131" t="s">
        <v>154</v>
      </c>
      <c r="C10" s="157">
        <f t="shared" ref="C10:R10" si="0">SUM(C11:C22)</f>
        <v>46.980000000000004</v>
      </c>
      <c r="D10" s="157">
        <f t="shared" si="0"/>
        <v>50.039999999999992</v>
      </c>
      <c r="E10" s="157">
        <f t="shared" si="0"/>
        <v>3.0599999999999992</v>
      </c>
      <c r="F10" s="158">
        <f t="shared" si="0"/>
        <v>0</v>
      </c>
      <c r="G10" s="158">
        <f t="shared" si="0"/>
        <v>0</v>
      </c>
      <c r="H10" s="158">
        <f t="shared" si="0"/>
        <v>0</v>
      </c>
      <c r="I10" s="158">
        <f t="shared" si="0"/>
        <v>0</v>
      </c>
      <c r="J10" s="158">
        <f t="shared" si="0"/>
        <v>0</v>
      </c>
      <c r="K10" s="157">
        <f t="shared" si="0"/>
        <v>1.2076999999999993</v>
      </c>
      <c r="L10" s="157">
        <f t="shared" si="0"/>
        <v>0.38869999999999988</v>
      </c>
      <c r="M10" s="157">
        <f t="shared" si="0"/>
        <v>0.81899999999999973</v>
      </c>
      <c r="N10" s="157">
        <f t="shared" si="0"/>
        <v>0.81044449999999968</v>
      </c>
      <c r="O10" s="157">
        <f t="shared" si="0"/>
        <v>5.0781444999999978</v>
      </c>
      <c r="P10" s="158">
        <f t="shared" si="0"/>
        <v>70</v>
      </c>
      <c r="Q10" s="157">
        <f t="shared" si="0"/>
        <v>29.646381499999993</v>
      </c>
      <c r="R10" s="157">
        <f t="shared" si="0"/>
        <v>53.363486699999982</v>
      </c>
      <c r="S10" s="156"/>
    </row>
    <row r="11" spans="1:25" ht="16.149999999999999" customHeight="1" x14ac:dyDescent="0.25">
      <c r="A11" s="251">
        <v>1</v>
      </c>
      <c r="B11" s="261" t="s">
        <v>252</v>
      </c>
      <c r="C11" s="262">
        <v>3</v>
      </c>
      <c r="D11" s="262">
        <f>C11+0.33</f>
        <v>3.33</v>
      </c>
      <c r="E11" s="132">
        <f t="shared" ref="E11:E22" si="1">D11-C11</f>
        <v>0.33000000000000007</v>
      </c>
      <c r="F11" s="160"/>
      <c r="G11" s="160"/>
      <c r="H11" s="160"/>
      <c r="I11" s="160"/>
      <c r="J11" s="160"/>
      <c r="K11" s="132">
        <f t="shared" ref="K11:K22" si="2">L11+M11</f>
        <v>2.6400000000000007E-2</v>
      </c>
      <c r="L11" s="132">
        <f t="shared" ref="L11:L22" si="3">E11*Y11</f>
        <v>2.6400000000000007E-2</v>
      </c>
      <c r="M11" s="159">
        <v>0</v>
      </c>
      <c r="N11" s="159">
        <f t="shared" ref="N11:N22" si="4">(E11+J11+L11)*23.5%</f>
        <v>8.3754000000000009E-2</v>
      </c>
      <c r="O11" s="159">
        <f t="shared" ref="O11:O16" si="5">E11+J11+K11+N11</f>
        <v>0.44015400000000005</v>
      </c>
      <c r="P11" s="133">
        <v>12</v>
      </c>
      <c r="Q11" s="132">
        <f t="shared" ref="Q11:Q16" si="6">O11*P11</f>
        <v>5.2818480000000001</v>
      </c>
      <c r="R11" s="132">
        <f>Q11*1.8</f>
        <v>9.5073264000000002</v>
      </c>
      <c r="S11" s="135">
        <v>45658</v>
      </c>
      <c r="Y11" s="161">
        <v>0.08</v>
      </c>
    </row>
    <row r="12" spans="1:25" ht="16.149999999999999" customHeight="1" x14ac:dyDescent="0.25">
      <c r="A12" s="251">
        <v>2</v>
      </c>
      <c r="B12" s="261" t="s">
        <v>220</v>
      </c>
      <c r="C12" s="262">
        <v>4.68</v>
      </c>
      <c r="D12" s="262">
        <f>C12+0.34</f>
        <v>5.0199999999999996</v>
      </c>
      <c r="E12" s="132">
        <f t="shared" si="1"/>
        <v>0.33999999999999986</v>
      </c>
      <c r="F12" s="160"/>
      <c r="G12" s="160"/>
      <c r="H12" s="160"/>
      <c r="I12" s="160"/>
      <c r="J12" s="160"/>
      <c r="K12" s="132">
        <f t="shared" si="2"/>
        <v>0.17339999999999992</v>
      </c>
      <c r="L12" s="132">
        <f t="shared" si="3"/>
        <v>7.1399999999999963E-2</v>
      </c>
      <c r="M12" s="159">
        <f t="shared" ref="M12:M22" si="7">(E12+J12)*30%</f>
        <v>0.10199999999999995</v>
      </c>
      <c r="N12" s="159">
        <f t="shared" si="4"/>
        <v>9.6678999999999959E-2</v>
      </c>
      <c r="O12" s="159">
        <f t="shared" si="5"/>
        <v>0.6100789999999997</v>
      </c>
      <c r="P12" s="133">
        <v>8</v>
      </c>
      <c r="Q12" s="132">
        <f t="shared" si="6"/>
        <v>4.8806319999999976</v>
      </c>
      <c r="R12" s="132">
        <f t="shared" ref="R12:R22" si="8">Q12*1.8</f>
        <v>8.7851375999999952</v>
      </c>
      <c r="S12" s="135">
        <v>45778</v>
      </c>
      <c r="Y12" s="161">
        <v>0.21</v>
      </c>
    </row>
    <row r="13" spans="1:25" ht="16.149999999999999" customHeight="1" x14ac:dyDescent="0.25">
      <c r="A13" s="251">
        <v>3</v>
      </c>
      <c r="B13" s="263" t="s">
        <v>229</v>
      </c>
      <c r="C13" s="262">
        <v>4.8899999999999997</v>
      </c>
      <c r="D13" s="262">
        <v>4.8899999999999997</v>
      </c>
      <c r="E13" s="132">
        <f t="shared" si="1"/>
        <v>0</v>
      </c>
      <c r="F13" s="160"/>
      <c r="G13" s="160"/>
      <c r="H13" s="160"/>
      <c r="I13" s="160"/>
      <c r="J13" s="160"/>
      <c r="K13" s="132">
        <f t="shared" si="2"/>
        <v>0</v>
      </c>
      <c r="L13" s="132">
        <f t="shared" si="3"/>
        <v>0</v>
      </c>
      <c r="M13" s="159">
        <f t="shared" si="7"/>
        <v>0</v>
      </c>
      <c r="N13" s="159">
        <f t="shared" si="4"/>
        <v>0</v>
      </c>
      <c r="O13" s="159">
        <f t="shared" si="5"/>
        <v>0</v>
      </c>
      <c r="P13" s="133">
        <v>8</v>
      </c>
      <c r="Q13" s="132">
        <f t="shared" si="6"/>
        <v>0</v>
      </c>
      <c r="R13" s="132">
        <f t="shared" si="8"/>
        <v>0</v>
      </c>
      <c r="S13" s="135">
        <v>45778</v>
      </c>
      <c r="Y13" s="161">
        <v>0.28999999999999998</v>
      </c>
    </row>
    <row r="14" spans="1:25" ht="16.149999999999999" customHeight="1" x14ac:dyDescent="0.25">
      <c r="A14" s="251">
        <v>4</v>
      </c>
      <c r="B14" s="261" t="s">
        <v>258</v>
      </c>
      <c r="C14" s="262">
        <v>3.34</v>
      </c>
      <c r="D14" s="262">
        <f>C14+0.31</f>
        <v>3.65</v>
      </c>
      <c r="E14" s="132">
        <f t="shared" si="1"/>
        <v>0.31000000000000005</v>
      </c>
      <c r="F14" s="160"/>
      <c r="G14" s="160"/>
      <c r="H14" s="160"/>
      <c r="I14" s="160"/>
      <c r="J14" s="160"/>
      <c r="K14" s="132">
        <f t="shared" si="2"/>
        <v>9.3000000000000013E-2</v>
      </c>
      <c r="L14" s="132">
        <f t="shared" si="3"/>
        <v>0</v>
      </c>
      <c r="M14" s="159">
        <f t="shared" si="7"/>
        <v>9.3000000000000013E-2</v>
      </c>
      <c r="N14" s="159">
        <f t="shared" si="4"/>
        <v>7.2850000000000012E-2</v>
      </c>
      <c r="O14" s="159">
        <f t="shared" si="5"/>
        <v>0.47585000000000011</v>
      </c>
      <c r="P14" s="133">
        <v>8</v>
      </c>
      <c r="Q14" s="132">
        <f t="shared" si="6"/>
        <v>3.8068000000000008</v>
      </c>
      <c r="R14" s="132">
        <f t="shared" si="8"/>
        <v>6.8522400000000019</v>
      </c>
      <c r="S14" s="135">
        <v>45778</v>
      </c>
      <c r="Y14" s="161">
        <v>0</v>
      </c>
    </row>
    <row r="15" spans="1:25" ht="16.149999999999999" customHeight="1" x14ac:dyDescent="0.25">
      <c r="A15" s="251">
        <v>5</v>
      </c>
      <c r="B15" s="261" t="s">
        <v>238</v>
      </c>
      <c r="C15" s="262">
        <v>4.68</v>
      </c>
      <c r="D15" s="262">
        <f t="shared" ref="D15" si="9">C15+0.34</f>
        <v>5.0199999999999996</v>
      </c>
      <c r="E15" s="132">
        <f t="shared" si="1"/>
        <v>0.33999999999999986</v>
      </c>
      <c r="F15" s="160"/>
      <c r="G15" s="160"/>
      <c r="H15" s="160"/>
      <c r="I15" s="160"/>
      <c r="J15" s="160"/>
      <c r="K15" s="132">
        <f t="shared" si="2"/>
        <v>0.18019999999999992</v>
      </c>
      <c r="L15" s="132">
        <f t="shared" si="3"/>
        <v>7.8199999999999964E-2</v>
      </c>
      <c r="M15" s="159">
        <f t="shared" si="7"/>
        <v>0.10199999999999995</v>
      </c>
      <c r="N15" s="159">
        <f t="shared" si="4"/>
        <v>9.8276999999999948E-2</v>
      </c>
      <c r="O15" s="159">
        <f t="shared" si="5"/>
        <v>0.61847699999999972</v>
      </c>
      <c r="P15" s="133">
        <v>7</v>
      </c>
      <c r="Q15" s="132">
        <f t="shared" si="6"/>
        <v>4.3293389999999983</v>
      </c>
      <c r="R15" s="132">
        <f t="shared" si="8"/>
        <v>7.7928101999999972</v>
      </c>
      <c r="S15" s="135">
        <v>45809</v>
      </c>
      <c r="Y15" s="161">
        <v>0.23</v>
      </c>
    </row>
    <row r="16" spans="1:25" ht="16.149999999999999" customHeight="1" x14ac:dyDescent="0.25">
      <c r="A16" s="251">
        <v>6</v>
      </c>
      <c r="B16" s="261" t="s">
        <v>266</v>
      </c>
      <c r="C16" s="262">
        <v>2.67</v>
      </c>
      <c r="D16" s="262">
        <f>C16+0.33</f>
        <v>3</v>
      </c>
      <c r="E16" s="132">
        <f t="shared" si="1"/>
        <v>0.33000000000000007</v>
      </c>
      <c r="F16" s="160"/>
      <c r="G16" s="160"/>
      <c r="H16" s="160"/>
      <c r="I16" s="160"/>
      <c r="J16" s="160"/>
      <c r="K16" s="132">
        <f t="shared" si="2"/>
        <v>9.9000000000000019E-2</v>
      </c>
      <c r="L16" s="132">
        <f t="shared" si="3"/>
        <v>0</v>
      </c>
      <c r="M16" s="159">
        <f t="shared" si="7"/>
        <v>9.9000000000000019E-2</v>
      </c>
      <c r="N16" s="159">
        <f t="shared" si="4"/>
        <v>7.7550000000000008E-2</v>
      </c>
      <c r="O16" s="159">
        <f t="shared" si="5"/>
        <v>0.50655000000000006</v>
      </c>
      <c r="P16" s="133">
        <v>7</v>
      </c>
      <c r="Q16" s="132">
        <f t="shared" si="6"/>
        <v>3.5458500000000006</v>
      </c>
      <c r="R16" s="132">
        <f t="shared" si="8"/>
        <v>6.3825300000000009</v>
      </c>
      <c r="S16" s="135">
        <v>45809</v>
      </c>
      <c r="Y16" s="161">
        <v>0</v>
      </c>
    </row>
    <row r="17" spans="1:25" ht="16.149999999999999" customHeight="1" x14ac:dyDescent="0.25">
      <c r="A17" s="251">
        <v>7</v>
      </c>
      <c r="B17" s="261" t="s">
        <v>260</v>
      </c>
      <c r="C17" s="262">
        <v>2.66</v>
      </c>
      <c r="D17" s="262">
        <v>2.86</v>
      </c>
      <c r="E17" s="132">
        <f t="shared" si="1"/>
        <v>0.19999999999999973</v>
      </c>
      <c r="F17" s="160"/>
      <c r="G17" s="160"/>
      <c r="H17" s="160"/>
      <c r="I17" s="160"/>
      <c r="J17" s="160"/>
      <c r="K17" s="132">
        <f t="shared" ref="K17" si="10">L17+M17</f>
        <v>5.9999999999999915E-2</v>
      </c>
      <c r="L17" s="132">
        <f t="shared" ref="L17" si="11">E17*Y17</f>
        <v>0</v>
      </c>
      <c r="M17" s="159">
        <f t="shared" ref="M17" si="12">(E17+J17)*30%</f>
        <v>5.9999999999999915E-2</v>
      </c>
      <c r="N17" s="159">
        <f t="shared" ref="N17" si="13">(E17+J17+L17)*23.5%</f>
        <v>4.6999999999999938E-2</v>
      </c>
      <c r="O17" s="159">
        <f t="shared" ref="O17" si="14">E17+J17+K17+N17</f>
        <v>0.30699999999999961</v>
      </c>
      <c r="P17" s="133">
        <v>5</v>
      </c>
      <c r="Q17" s="132">
        <f t="shared" ref="Q17" si="15">O17*P17</f>
        <v>1.5349999999999979</v>
      </c>
      <c r="R17" s="132">
        <f t="shared" si="8"/>
        <v>2.7629999999999963</v>
      </c>
      <c r="S17" s="135">
        <v>45870</v>
      </c>
      <c r="Y17" s="161"/>
    </row>
    <row r="18" spans="1:25" ht="16.149999999999999" customHeight="1" x14ac:dyDescent="0.25">
      <c r="A18" s="251">
        <v>8</v>
      </c>
      <c r="B18" s="261" t="s">
        <v>244</v>
      </c>
      <c r="C18" s="262">
        <v>3.66</v>
      </c>
      <c r="D18" s="262">
        <v>3.99</v>
      </c>
      <c r="E18" s="132">
        <f t="shared" si="1"/>
        <v>0.33000000000000007</v>
      </c>
      <c r="F18" s="160"/>
      <c r="G18" s="160"/>
      <c r="H18" s="160"/>
      <c r="I18" s="160"/>
      <c r="J18" s="160"/>
      <c r="K18" s="132">
        <f t="shared" si="2"/>
        <v>0.14850000000000002</v>
      </c>
      <c r="L18" s="132">
        <f t="shared" si="3"/>
        <v>4.9500000000000009E-2</v>
      </c>
      <c r="M18" s="159">
        <f t="shared" si="7"/>
        <v>9.9000000000000019E-2</v>
      </c>
      <c r="N18" s="159">
        <f t="shared" si="4"/>
        <v>8.9182500000000012E-2</v>
      </c>
      <c r="O18" s="159">
        <f t="shared" ref="O18:O22" si="16">E18+J18+K18+N18</f>
        <v>0.56768250000000009</v>
      </c>
      <c r="P18" s="133">
        <v>5</v>
      </c>
      <c r="Q18" s="132">
        <f t="shared" ref="Q18:Q22" si="17">O18*P18</f>
        <v>2.8384125000000004</v>
      </c>
      <c r="R18" s="132">
        <f t="shared" si="8"/>
        <v>5.1091425000000008</v>
      </c>
      <c r="S18" s="135">
        <v>45870</v>
      </c>
      <c r="Y18" s="161">
        <v>0.15</v>
      </c>
    </row>
    <row r="19" spans="1:25" ht="16.149999999999999" customHeight="1" x14ac:dyDescent="0.25">
      <c r="A19" s="251">
        <v>9</v>
      </c>
      <c r="B19" s="261" t="s">
        <v>232</v>
      </c>
      <c r="C19" s="262">
        <v>5.0199999999999996</v>
      </c>
      <c r="D19" s="262">
        <f>C19+0.34</f>
        <v>5.3599999999999994</v>
      </c>
      <c r="E19" s="132">
        <f t="shared" si="1"/>
        <v>0.33999999999999986</v>
      </c>
      <c r="F19" s="160"/>
      <c r="G19" s="160"/>
      <c r="H19" s="160"/>
      <c r="I19" s="160"/>
      <c r="J19" s="160"/>
      <c r="K19" s="132">
        <f t="shared" si="2"/>
        <v>0.1903999999999999</v>
      </c>
      <c r="L19" s="132">
        <f t="shared" si="3"/>
        <v>8.8399999999999965E-2</v>
      </c>
      <c r="M19" s="159">
        <f t="shared" si="7"/>
        <v>0.10199999999999995</v>
      </c>
      <c r="N19" s="159">
        <f t="shared" si="4"/>
        <v>0.10067399999999996</v>
      </c>
      <c r="O19" s="159">
        <f t="shared" si="16"/>
        <v>0.63107399999999969</v>
      </c>
      <c r="P19" s="133">
        <v>3</v>
      </c>
      <c r="Q19" s="132">
        <f t="shared" si="17"/>
        <v>1.8932219999999991</v>
      </c>
      <c r="R19" s="132">
        <f t="shared" si="8"/>
        <v>3.4077995999999984</v>
      </c>
      <c r="S19" s="135">
        <v>45931</v>
      </c>
      <c r="Y19" s="161">
        <v>0.26</v>
      </c>
    </row>
    <row r="20" spans="1:25" ht="16.149999999999999" customHeight="1" x14ac:dyDescent="0.25">
      <c r="A20" s="251">
        <v>10</v>
      </c>
      <c r="B20" s="261" t="s">
        <v>267</v>
      </c>
      <c r="C20" s="262">
        <v>4.9800000000000004</v>
      </c>
      <c r="D20" s="262">
        <v>4.9800000000000004</v>
      </c>
      <c r="E20" s="132">
        <f t="shared" si="1"/>
        <v>0</v>
      </c>
      <c r="F20" s="160"/>
      <c r="G20" s="160"/>
      <c r="H20" s="160"/>
      <c r="I20" s="160"/>
      <c r="J20" s="160"/>
      <c r="K20" s="132">
        <f t="shared" ref="K20:K21" si="18">L20+M20</f>
        <v>0</v>
      </c>
      <c r="L20" s="132">
        <f t="shared" ref="L20:L21" si="19">E20*Y20</f>
        <v>0</v>
      </c>
      <c r="M20" s="159">
        <f t="shared" si="7"/>
        <v>0</v>
      </c>
      <c r="N20" s="159">
        <f t="shared" si="4"/>
        <v>0</v>
      </c>
      <c r="O20" s="159">
        <f t="shared" si="16"/>
        <v>0</v>
      </c>
      <c r="P20" s="133">
        <v>3</v>
      </c>
      <c r="Q20" s="132">
        <f t="shared" si="17"/>
        <v>0</v>
      </c>
      <c r="R20" s="132">
        <f t="shared" si="8"/>
        <v>0</v>
      </c>
      <c r="S20" s="134">
        <v>45931</v>
      </c>
      <c r="Y20" s="161">
        <v>0.3</v>
      </c>
    </row>
    <row r="21" spans="1:25" ht="16.149999999999999" customHeight="1" x14ac:dyDescent="0.25">
      <c r="A21" s="251">
        <v>11</v>
      </c>
      <c r="B21" s="261" t="s">
        <v>259</v>
      </c>
      <c r="C21" s="262">
        <v>3.06</v>
      </c>
      <c r="D21" s="262">
        <v>3.26</v>
      </c>
      <c r="E21" s="132">
        <f t="shared" si="1"/>
        <v>0.19999999999999973</v>
      </c>
      <c r="F21" s="160"/>
      <c r="G21" s="160"/>
      <c r="H21" s="160"/>
      <c r="I21" s="160"/>
      <c r="J21" s="160"/>
      <c r="K21" s="132">
        <f t="shared" si="18"/>
        <v>5.9999999999999915E-2</v>
      </c>
      <c r="L21" s="132">
        <f t="shared" si="19"/>
        <v>0</v>
      </c>
      <c r="M21" s="159">
        <f t="shared" si="7"/>
        <v>5.9999999999999915E-2</v>
      </c>
      <c r="N21" s="159">
        <f t="shared" ref="N21" si="20">(E21+J21+L21)*23.5%</f>
        <v>4.6999999999999938E-2</v>
      </c>
      <c r="O21" s="159">
        <f t="shared" ref="O21" si="21">E21+J21+K21+N21</f>
        <v>0.30699999999999961</v>
      </c>
      <c r="P21" s="133">
        <v>3</v>
      </c>
      <c r="Q21" s="132">
        <f t="shared" ref="Q21" si="22">O21*P21</f>
        <v>0.92099999999999882</v>
      </c>
      <c r="R21" s="132">
        <f t="shared" si="8"/>
        <v>1.6577999999999979</v>
      </c>
      <c r="S21" s="134">
        <v>45931</v>
      </c>
      <c r="Y21" s="161"/>
    </row>
    <row r="22" spans="1:25" ht="16.149999999999999" customHeight="1" x14ac:dyDescent="0.25">
      <c r="A22" s="251">
        <v>12</v>
      </c>
      <c r="B22" s="261" t="s">
        <v>249</v>
      </c>
      <c r="C22" s="262">
        <v>4.34</v>
      </c>
      <c r="D22" s="262">
        <f t="shared" ref="D22" si="23">C22+0.34</f>
        <v>4.68</v>
      </c>
      <c r="E22" s="132">
        <f t="shared" si="1"/>
        <v>0.33999999999999986</v>
      </c>
      <c r="F22" s="160"/>
      <c r="G22" s="160"/>
      <c r="H22" s="160"/>
      <c r="I22" s="160"/>
      <c r="J22" s="160"/>
      <c r="K22" s="132">
        <f t="shared" si="2"/>
        <v>0.1767999999999999</v>
      </c>
      <c r="L22" s="132">
        <f t="shared" si="3"/>
        <v>7.4799999999999964E-2</v>
      </c>
      <c r="M22" s="159">
        <f t="shared" si="7"/>
        <v>0.10199999999999995</v>
      </c>
      <c r="N22" s="159">
        <f t="shared" si="4"/>
        <v>9.7477999999999954E-2</v>
      </c>
      <c r="O22" s="159">
        <f t="shared" si="16"/>
        <v>0.61427799999999966</v>
      </c>
      <c r="P22" s="133">
        <v>1</v>
      </c>
      <c r="Q22" s="132">
        <f t="shared" si="17"/>
        <v>0.61427799999999966</v>
      </c>
      <c r="R22" s="132">
        <f t="shared" si="8"/>
        <v>1.1057003999999995</v>
      </c>
      <c r="S22" s="134">
        <v>45992</v>
      </c>
      <c r="Y22" s="161">
        <v>0.22</v>
      </c>
    </row>
    <row r="23" spans="1:25" x14ac:dyDescent="0.25">
      <c r="A23" s="128"/>
      <c r="B23" s="128"/>
      <c r="C23" s="128"/>
      <c r="D23" s="128"/>
      <c r="E23" s="128"/>
      <c r="F23" s="128"/>
      <c r="G23" s="128"/>
      <c r="H23" s="128"/>
      <c r="I23" s="128"/>
      <c r="J23" s="128"/>
      <c r="K23" s="128"/>
      <c r="L23" s="128"/>
      <c r="M23" s="129"/>
      <c r="N23" s="176"/>
      <c r="O23" s="176"/>
      <c r="P23" s="176"/>
      <c r="Q23" s="176"/>
      <c r="R23" s="176"/>
      <c r="S23" s="176"/>
    </row>
    <row r="24" spans="1:25" ht="18.75" x14ac:dyDescent="0.3">
      <c r="A24" s="256"/>
      <c r="B24" s="256"/>
      <c r="C24" s="256"/>
      <c r="D24" s="256"/>
      <c r="E24" s="256"/>
      <c r="F24" s="256"/>
      <c r="G24" s="256"/>
      <c r="H24" s="256"/>
      <c r="I24" s="256"/>
      <c r="J24" s="353" t="s">
        <v>265</v>
      </c>
      <c r="K24" s="353"/>
      <c r="L24" s="353"/>
      <c r="M24" s="353"/>
      <c r="N24" s="353"/>
      <c r="O24" s="353"/>
      <c r="P24" s="353"/>
      <c r="Q24" s="353"/>
      <c r="R24" s="353"/>
      <c r="S24" s="353"/>
    </row>
    <row r="25" spans="1:25" ht="18.75" x14ac:dyDescent="0.3">
      <c r="A25" s="351" t="s">
        <v>155</v>
      </c>
      <c r="B25" s="351"/>
      <c r="C25" s="351"/>
      <c r="D25" s="256"/>
      <c r="E25" s="256"/>
      <c r="F25" s="256"/>
      <c r="G25" s="256"/>
      <c r="H25" s="256"/>
      <c r="I25" s="256"/>
      <c r="J25" s="351" t="s">
        <v>71</v>
      </c>
      <c r="K25" s="351"/>
      <c r="L25" s="351"/>
      <c r="M25" s="351"/>
      <c r="N25" s="351"/>
      <c r="O25" s="351"/>
      <c r="P25" s="351"/>
      <c r="Q25" s="351"/>
      <c r="R25" s="351"/>
      <c r="S25" s="351"/>
    </row>
    <row r="26" spans="1:25" ht="18.75" x14ac:dyDescent="0.3">
      <c r="A26" s="257"/>
      <c r="B26" s="257"/>
      <c r="C26" s="256"/>
      <c r="D26" s="256"/>
      <c r="E26" s="256"/>
      <c r="F26" s="256"/>
      <c r="G26" s="256"/>
      <c r="H26" s="256"/>
      <c r="I26" s="256"/>
      <c r="J26" s="256"/>
      <c r="K26" s="256"/>
      <c r="L26" s="256"/>
      <c r="M26" s="256"/>
      <c r="N26" s="258"/>
      <c r="O26" s="259"/>
      <c r="P26" s="259"/>
      <c r="Q26" s="259"/>
      <c r="R26" s="259"/>
      <c r="S26" s="259"/>
    </row>
    <row r="27" spans="1:25" ht="18.75" x14ac:dyDescent="0.3">
      <c r="A27" s="257"/>
      <c r="B27" s="257"/>
      <c r="C27" s="256"/>
      <c r="D27" s="256"/>
      <c r="E27" s="256"/>
      <c r="F27" s="256"/>
      <c r="G27" s="256"/>
      <c r="H27" s="256"/>
      <c r="I27" s="256"/>
      <c r="J27" s="256"/>
      <c r="K27" s="256"/>
      <c r="L27" s="256"/>
      <c r="M27" s="256"/>
      <c r="N27" s="257"/>
      <c r="O27" s="257"/>
      <c r="P27" s="257"/>
      <c r="Q27" s="257"/>
      <c r="R27" s="257"/>
      <c r="S27" s="257"/>
    </row>
    <row r="28" spans="1:25" ht="18.75" x14ac:dyDescent="0.3">
      <c r="A28" s="257"/>
      <c r="B28" s="257"/>
      <c r="C28" s="256"/>
      <c r="D28" s="256"/>
      <c r="E28" s="256"/>
      <c r="F28" s="256"/>
      <c r="G28" s="256"/>
      <c r="H28" s="256"/>
      <c r="I28" s="256"/>
      <c r="J28" s="256"/>
      <c r="K28" s="256"/>
      <c r="L28" s="256"/>
      <c r="M28" s="256"/>
      <c r="N28" s="257"/>
      <c r="O28" s="257"/>
      <c r="P28" s="257"/>
      <c r="Q28" s="257"/>
      <c r="R28" s="257"/>
      <c r="S28" s="257"/>
    </row>
    <row r="29" spans="1:25" ht="18.75" x14ac:dyDescent="0.3">
      <c r="A29" s="257"/>
      <c r="B29" s="257"/>
      <c r="C29" s="256"/>
      <c r="D29" s="256"/>
      <c r="E29" s="256"/>
      <c r="F29" s="256"/>
      <c r="G29" s="256"/>
      <c r="H29" s="256"/>
      <c r="I29" s="256"/>
      <c r="J29" s="256"/>
      <c r="K29" s="256"/>
      <c r="L29" s="256"/>
      <c r="M29" s="256"/>
      <c r="N29" s="257"/>
      <c r="O29" s="257"/>
      <c r="P29" s="257"/>
      <c r="Q29" s="257"/>
      <c r="R29" s="257"/>
      <c r="S29" s="257"/>
    </row>
    <row r="30" spans="1:25" ht="18.75" x14ac:dyDescent="0.3">
      <c r="A30" s="352" t="s">
        <v>258</v>
      </c>
      <c r="B30" s="352"/>
      <c r="C30" s="352"/>
      <c r="D30" s="260"/>
      <c r="E30" s="260"/>
      <c r="F30" s="260"/>
      <c r="G30" s="260"/>
      <c r="H30" s="260"/>
      <c r="I30" s="260"/>
      <c r="J30" s="352" t="s">
        <v>219</v>
      </c>
      <c r="K30" s="352"/>
      <c r="L30" s="352"/>
      <c r="M30" s="352"/>
      <c r="N30" s="352"/>
      <c r="O30" s="352"/>
      <c r="P30" s="352"/>
      <c r="Q30" s="352"/>
      <c r="R30" s="352"/>
      <c r="S30" s="352"/>
    </row>
  </sheetData>
  <mergeCells count="23">
    <mergeCell ref="A30:C30"/>
    <mergeCell ref="J30:S30"/>
    <mergeCell ref="A1:D1"/>
    <mergeCell ref="A2:D2"/>
    <mergeCell ref="A4:S4"/>
    <mergeCell ref="A6:A8"/>
    <mergeCell ref="B6:B8"/>
    <mergeCell ref="C6:O6"/>
    <mergeCell ref="P6:P8"/>
    <mergeCell ref="Q6:Q8"/>
    <mergeCell ref="R6:R8"/>
    <mergeCell ref="S6:S8"/>
    <mergeCell ref="C7:C8"/>
    <mergeCell ref="D7:D8"/>
    <mergeCell ref="E7:E8"/>
    <mergeCell ref="F7:J7"/>
    <mergeCell ref="A25:C25"/>
    <mergeCell ref="J25:S25"/>
    <mergeCell ref="K7:K8"/>
    <mergeCell ref="L7:M7"/>
    <mergeCell ref="N7:N8"/>
    <mergeCell ref="O7:O8"/>
    <mergeCell ref="J24:S24"/>
  </mergeCells>
  <pageMargins left="0.24" right="0.2" top="0.27" bottom="0.2" header="0.4" footer="0.31496062992125984"/>
  <pageSetup paperSize="9" orientation="landscape"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topLeftCell="A40" zoomScale="119" zoomScaleNormal="119" workbookViewId="0">
      <selection activeCell="N53" sqref="N53"/>
    </sheetView>
  </sheetViews>
  <sheetFormatPr defaultColWidth="8.85546875" defaultRowHeight="15" x14ac:dyDescent="0.25"/>
  <cols>
    <col min="1" max="1" width="5.28515625" style="97" customWidth="1"/>
    <col min="2" max="2" width="23.42578125" style="97" customWidth="1"/>
    <col min="3" max="3" width="7.85546875" style="97" customWidth="1"/>
    <col min="4" max="8" width="8.85546875" style="97"/>
    <col min="9" max="9" width="11.7109375" style="97" customWidth="1"/>
    <col min="10" max="12" width="8.85546875" style="97"/>
    <col min="13" max="13" width="11.42578125" style="97" customWidth="1"/>
    <col min="14" max="14" width="12" style="97" customWidth="1"/>
    <col min="15" max="16384" width="8.85546875" style="97"/>
  </cols>
  <sheetData>
    <row r="1" spans="1:14" ht="15.75" x14ac:dyDescent="0.25">
      <c r="A1" s="345" t="s">
        <v>74</v>
      </c>
      <c r="B1" s="345"/>
      <c r="C1" s="345"/>
      <c r="D1" s="345"/>
    </row>
    <row r="2" spans="1:14" ht="15.75" x14ac:dyDescent="0.25">
      <c r="A2" s="313" t="s">
        <v>263</v>
      </c>
      <c r="B2" s="313"/>
      <c r="C2" s="313"/>
      <c r="D2" s="313"/>
      <c r="E2" s="99"/>
      <c r="F2" s="99"/>
      <c r="G2" s="100"/>
      <c r="H2" s="100"/>
      <c r="I2" s="101"/>
      <c r="J2" s="101"/>
      <c r="K2" s="101"/>
      <c r="L2" s="101"/>
      <c r="M2" s="101"/>
      <c r="N2" s="102" t="s">
        <v>134</v>
      </c>
    </row>
    <row r="3" spans="1:14" ht="15.75" x14ac:dyDescent="0.25">
      <c r="A3" s="103"/>
      <c r="B3" s="104"/>
      <c r="C3" s="104"/>
      <c r="D3" s="104"/>
      <c r="E3" s="104"/>
      <c r="F3" s="104"/>
      <c r="G3" s="105"/>
      <c r="H3" s="105"/>
      <c r="I3" s="101"/>
      <c r="J3" s="101"/>
      <c r="K3" s="101"/>
      <c r="L3" s="101"/>
      <c r="M3" s="101"/>
      <c r="N3" s="106"/>
    </row>
    <row r="4" spans="1:14" ht="18.75" x14ac:dyDescent="0.25">
      <c r="A4" s="346" t="s">
        <v>165</v>
      </c>
      <c r="B4" s="346"/>
      <c r="C4" s="346"/>
      <c r="D4" s="346"/>
      <c r="E4" s="346"/>
      <c r="F4" s="346"/>
      <c r="G4" s="346"/>
      <c r="H4" s="346"/>
      <c r="I4" s="346"/>
      <c r="J4" s="346"/>
      <c r="K4" s="346"/>
      <c r="L4" s="346"/>
      <c r="M4" s="346"/>
      <c r="N4" s="346"/>
    </row>
    <row r="5" spans="1:14" ht="15.75" x14ac:dyDescent="0.25">
      <c r="A5" s="107"/>
      <c r="B5" s="108"/>
      <c r="C5" s="108"/>
      <c r="D5" s="108"/>
      <c r="E5" s="108"/>
      <c r="F5" s="109"/>
      <c r="G5" s="109"/>
      <c r="H5" s="109"/>
      <c r="I5" s="109"/>
      <c r="J5" s="109"/>
      <c r="K5" s="109"/>
      <c r="L5" s="109"/>
      <c r="M5" s="109"/>
      <c r="N5" s="110"/>
    </row>
    <row r="6" spans="1:14" ht="27" customHeight="1" x14ac:dyDescent="0.25">
      <c r="A6" s="359" t="s">
        <v>90</v>
      </c>
      <c r="B6" s="359" t="s">
        <v>135</v>
      </c>
      <c r="C6" s="360" t="s">
        <v>136</v>
      </c>
      <c r="D6" s="360" t="s">
        <v>137</v>
      </c>
      <c r="E6" s="360" t="s">
        <v>138</v>
      </c>
      <c r="F6" s="360" t="s">
        <v>139</v>
      </c>
      <c r="G6" s="361" t="s">
        <v>140</v>
      </c>
      <c r="H6" s="356"/>
      <c r="I6" s="356"/>
      <c r="J6" s="356"/>
      <c r="K6" s="360" t="s">
        <v>141</v>
      </c>
      <c r="L6" s="360" t="s">
        <v>142</v>
      </c>
      <c r="M6" s="360" t="s">
        <v>143</v>
      </c>
      <c r="N6" s="362" t="s">
        <v>144</v>
      </c>
    </row>
    <row r="7" spans="1:14" ht="29.45" customHeight="1" x14ac:dyDescent="0.25">
      <c r="A7" s="359"/>
      <c r="B7" s="359"/>
      <c r="C7" s="360"/>
      <c r="D7" s="360"/>
      <c r="E7" s="360"/>
      <c r="F7" s="360"/>
      <c r="G7" s="360" t="s">
        <v>145</v>
      </c>
      <c r="H7" s="360" t="s">
        <v>146</v>
      </c>
      <c r="I7" s="360" t="s">
        <v>147</v>
      </c>
      <c r="J7" s="360" t="s">
        <v>148</v>
      </c>
      <c r="K7" s="360"/>
      <c r="L7" s="360"/>
      <c r="M7" s="360"/>
      <c r="N7" s="362"/>
    </row>
    <row r="8" spans="1:14" ht="18" customHeight="1" x14ac:dyDescent="0.25">
      <c r="A8" s="359"/>
      <c r="B8" s="359"/>
      <c r="C8" s="360"/>
      <c r="D8" s="360"/>
      <c r="E8" s="360"/>
      <c r="F8" s="360"/>
      <c r="G8" s="360"/>
      <c r="H8" s="360"/>
      <c r="I8" s="360"/>
      <c r="J8" s="360"/>
      <c r="K8" s="360"/>
      <c r="L8" s="360"/>
      <c r="M8" s="360"/>
      <c r="N8" s="362"/>
    </row>
    <row r="9" spans="1:14" x14ac:dyDescent="0.25">
      <c r="A9" s="111" t="s">
        <v>33</v>
      </c>
      <c r="B9" s="111" t="s">
        <v>34</v>
      </c>
      <c r="C9" s="111">
        <v>1</v>
      </c>
      <c r="D9" s="111">
        <v>2</v>
      </c>
      <c r="E9" s="111">
        <v>3</v>
      </c>
      <c r="F9" s="111" t="s">
        <v>149</v>
      </c>
      <c r="G9" s="111">
        <v>5</v>
      </c>
      <c r="H9" s="112" t="s">
        <v>150</v>
      </c>
      <c r="I9" s="112" t="s">
        <v>185</v>
      </c>
      <c r="J9" s="112" t="s">
        <v>151</v>
      </c>
      <c r="K9" s="112">
        <v>9</v>
      </c>
      <c r="L9" s="112" t="s">
        <v>152</v>
      </c>
      <c r="M9" s="112">
        <v>11</v>
      </c>
      <c r="N9" s="112" t="s">
        <v>153</v>
      </c>
    </row>
    <row r="10" spans="1:14" ht="15.75" x14ac:dyDescent="0.25">
      <c r="A10" s="116"/>
      <c r="B10" s="117" t="s">
        <v>154</v>
      </c>
      <c r="C10" s="124">
        <f t="shared" ref="C10:M10" si="0">SUM(C11:C48)</f>
        <v>166.39000000000001</v>
      </c>
      <c r="D10" s="124">
        <f t="shared" si="0"/>
        <v>0</v>
      </c>
      <c r="E10" s="124">
        <f t="shared" si="0"/>
        <v>1.4999999999999998</v>
      </c>
      <c r="F10" s="124">
        <f t="shared" si="0"/>
        <v>167.89000000000001</v>
      </c>
      <c r="G10" s="127">
        <f t="shared" si="0"/>
        <v>0.38000000000000017</v>
      </c>
      <c r="H10" s="124">
        <f t="shared" si="0"/>
        <v>1.6789000000000005</v>
      </c>
      <c r="I10" s="124">
        <f t="shared" si="0"/>
        <v>0.3945415000000001</v>
      </c>
      <c r="J10" s="124">
        <f t="shared" si="0"/>
        <v>2.0734415000000004</v>
      </c>
      <c r="K10" s="124">
        <f t="shared" si="0"/>
        <v>251</v>
      </c>
      <c r="L10" s="124">
        <f t="shared" si="0"/>
        <v>13.543627499999994</v>
      </c>
      <c r="M10" s="124">
        <f t="shared" si="0"/>
        <v>24.378529499999999</v>
      </c>
      <c r="N10" s="118"/>
    </row>
    <row r="11" spans="1:14" x14ac:dyDescent="0.25">
      <c r="A11" s="251">
        <v>1</v>
      </c>
      <c r="B11" s="252" t="s">
        <v>252</v>
      </c>
      <c r="C11" s="222">
        <v>3</v>
      </c>
      <c r="D11" s="179"/>
      <c r="E11" s="179">
        <v>0.15</v>
      </c>
      <c r="F11" s="120">
        <f t="shared" ref="F11:F12" si="1">C11+D11+E11</f>
        <v>3.15</v>
      </c>
      <c r="G11" s="180">
        <v>0.01</v>
      </c>
      <c r="H11" s="120">
        <f t="shared" ref="H11:H12" si="2">F11*G11</f>
        <v>3.15E-2</v>
      </c>
      <c r="I11" s="120">
        <f t="shared" ref="I11:I12" si="3">H11*23.5%</f>
        <v>7.4024999999999994E-3</v>
      </c>
      <c r="J11" s="120">
        <f t="shared" ref="J11:J12" si="4">H11+I11</f>
        <v>3.89025E-2</v>
      </c>
      <c r="K11" s="122">
        <v>12</v>
      </c>
      <c r="L11" s="123">
        <f t="shared" ref="L11:L12" si="5">J11*K11</f>
        <v>0.46682999999999997</v>
      </c>
      <c r="M11" s="120">
        <f>L11*1.8</f>
        <v>0.84029399999999999</v>
      </c>
      <c r="N11" s="264" t="s">
        <v>268</v>
      </c>
    </row>
    <row r="12" spans="1:14" x14ac:dyDescent="0.25">
      <c r="A12" s="251">
        <v>2</v>
      </c>
      <c r="B12" s="252" t="s">
        <v>251</v>
      </c>
      <c r="C12" s="222">
        <v>4.34</v>
      </c>
      <c r="D12" s="179"/>
      <c r="E12" s="179">
        <v>0.15</v>
      </c>
      <c r="F12" s="120">
        <f t="shared" si="1"/>
        <v>4.49</v>
      </c>
      <c r="G12" s="180">
        <v>0.01</v>
      </c>
      <c r="H12" s="120">
        <f t="shared" si="2"/>
        <v>4.4900000000000002E-2</v>
      </c>
      <c r="I12" s="120">
        <f t="shared" si="3"/>
        <v>1.05515E-2</v>
      </c>
      <c r="J12" s="120">
        <f t="shared" si="4"/>
        <v>5.5451500000000001E-2</v>
      </c>
      <c r="K12" s="122">
        <v>11</v>
      </c>
      <c r="L12" s="123">
        <f t="shared" si="5"/>
        <v>0.60996649999999997</v>
      </c>
      <c r="M12" s="120">
        <f t="shared" ref="M12:M48" si="6">L12*1.8</f>
        <v>1.0979397</v>
      </c>
      <c r="N12" s="264" t="s">
        <v>269</v>
      </c>
    </row>
    <row r="13" spans="1:14" x14ac:dyDescent="0.25">
      <c r="A13" s="251">
        <v>3</v>
      </c>
      <c r="B13" s="253" t="s">
        <v>238</v>
      </c>
      <c r="C13" s="231">
        <v>4.68</v>
      </c>
      <c r="D13" s="125"/>
      <c r="E13" s="125"/>
      <c r="F13" s="120">
        <f>C13+D13+E13</f>
        <v>4.68</v>
      </c>
      <c r="G13" s="121">
        <v>0.01</v>
      </c>
      <c r="H13" s="120">
        <f>F13*G13</f>
        <v>4.6800000000000001E-2</v>
      </c>
      <c r="I13" s="120">
        <f>H13*23.5%</f>
        <v>1.0997999999999999E-2</v>
      </c>
      <c r="J13" s="120">
        <f>H13+I13</f>
        <v>5.7798000000000002E-2</v>
      </c>
      <c r="K13" s="122">
        <v>10</v>
      </c>
      <c r="L13" s="123">
        <f>J13*K13</f>
        <v>0.57798000000000005</v>
      </c>
      <c r="M13" s="120">
        <f t="shared" si="6"/>
        <v>1.0403640000000001</v>
      </c>
      <c r="N13" s="265" t="s">
        <v>270</v>
      </c>
    </row>
    <row r="14" spans="1:14" x14ac:dyDescent="0.25">
      <c r="A14" s="251">
        <v>4</v>
      </c>
      <c r="B14" s="253" t="s">
        <v>249</v>
      </c>
      <c r="C14" s="222">
        <v>4.34</v>
      </c>
      <c r="D14" s="125"/>
      <c r="E14" s="125"/>
      <c r="F14" s="120">
        <f t="shared" ref="F14:F15" si="7">C14+D14+E14</f>
        <v>4.34</v>
      </c>
      <c r="G14" s="121">
        <v>0.01</v>
      </c>
      <c r="H14" s="120">
        <f>F14*G14</f>
        <v>4.3400000000000001E-2</v>
      </c>
      <c r="I14" s="120">
        <f>H14*23.5%</f>
        <v>1.0199E-2</v>
      </c>
      <c r="J14" s="120">
        <f>H14+I14</f>
        <v>5.3599000000000001E-2</v>
      </c>
      <c r="K14" s="122">
        <v>10</v>
      </c>
      <c r="L14" s="123">
        <f>J14*K14</f>
        <v>0.53598999999999997</v>
      </c>
      <c r="M14" s="120">
        <f t="shared" si="6"/>
        <v>0.96478199999999992</v>
      </c>
      <c r="N14" s="265" t="s">
        <v>270</v>
      </c>
    </row>
    <row r="15" spans="1:14" x14ac:dyDescent="0.25">
      <c r="A15" s="251">
        <v>5</v>
      </c>
      <c r="B15" s="253" t="s">
        <v>236</v>
      </c>
      <c r="C15" s="231">
        <v>4.68</v>
      </c>
      <c r="D15" s="119"/>
      <c r="E15" s="119"/>
      <c r="F15" s="120">
        <f t="shared" si="7"/>
        <v>4.68</v>
      </c>
      <c r="G15" s="121">
        <v>0.01</v>
      </c>
      <c r="H15" s="120">
        <f t="shared" ref="H15:H48" si="8">F15*G15</f>
        <v>4.6800000000000001E-2</v>
      </c>
      <c r="I15" s="120">
        <f t="shared" ref="I15:I48" si="9">H15*23.5%</f>
        <v>1.0997999999999999E-2</v>
      </c>
      <c r="J15" s="120">
        <f t="shared" ref="J15:J48" si="10">H15+I15</f>
        <v>5.7798000000000002E-2</v>
      </c>
      <c r="K15" s="126">
        <v>10</v>
      </c>
      <c r="L15" s="123">
        <f t="shared" ref="L15:L48" si="11">J15*K15</f>
        <v>0.57798000000000005</v>
      </c>
      <c r="M15" s="120">
        <f t="shared" si="6"/>
        <v>1.0403640000000001</v>
      </c>
      <c r="N15" s="265" t="s">
        <v>270</v>
      </c>
    </row>
    <row r="16" spans="1:14" x14ac:dyDescent="0.25">
      <c r="A16" s="251">
        <v>6</v>
      </c>
      <c r="B16" s="253" t="s">
        <v>231</v>
      </c>
      <c r="C16" s="231">
        <v>5.0199999999999996</v>
      </c>
      <c r="D16" s="119"/>
      <c r="E16" s="119"/>
      <c r="F16" s="120">
        <f t="shared" ref="F16:F48" si="12">C16+D16+E16</f>
        <v>5.0199999999999996</v>
      </c>
      <c r="G16" s="121">
        <v>0.01</v>
      </c>
      <c r="H16" s="120">
        <f t="shared" si="8"/>
        <v>5.0199999999999995E-2</v>
      </c>
      <c r="I16" s="120">
        <f t="shared" si="9"/>
        <v>1.1796999999999998E-2</v>
      </c>
      <c r="J16" s="120">
        <f t="shared" si="10"/>
        <v>6.1996999999999997E-2</v>
      </c>
      <c r="K16" s="126">
        <v>10</v>
      </c>
      <c r="L16" s="123">
        <f t="shared" si="11"/>
        <v>0.61996999999999991</v>
      </c>
      <c r="M16" s="120">
        <f t="shared" si="6"/>
        <v>1.1159459999999999</v>
      </c>
      <c r="N16" s="265" t="s">
        <v>270</v>
      </c>
    </row>
    <row r="17" spans="1:14" x14ac:dyDescent="0.25">
      <c r="A17" s="251">
        <v>7</v>
      </c>
      <c r="B17" s="253" t="s">
        <v>234</v>
      </c>
      <c r="C17" s="231">
        <v>4.8899999999999997</v>
      </c>
      <c r="D17" s="119"/>
      <c r="E17" s="119"/>
      <c r="F17" s="120">
        <f t="shared" si="12"/>
        <v>4.8899999999999997</v>
      </c>
      <c r="G17" s="121">
        <v>0.01</v>
      </c>
      <c r="H17" s="120">
        <f t="shared" si="8"/>
        <v>4.8899999999999999E-2</v>
      </c>
      <c r="I17" s="120">
        <f t="shared" si="9"/>
        <v>1.14915E-2</v>
      </c>
      <c r="J17" s="120">
        <f t="shared" si="10"/>
        <v>6.0391500000000001E-2</v>
      </c>
      <c r="K17" s="126">
        <v>9</v>
      </c>
      <c r="L17" s="123">
        <f t="shared" si="11"/>
        <v>0.54352350000000005</v>
      </c>
      <c r="M17" s="120">
        <f t="shared" si="6"/>
        <v>0.97834230000000011</v>
      </c>
      <c r="N17" s="265" t="s">
        <v>271</v>
      </c>
    </row>
    <row r="18" spans="1:14" x14ac:dyDescent="0.25">
      <c r="A18" s="251">
        <v>8</v>
      </c>
      <c r="B18" s="253" t="s">
        <v>230</v>
      </c>
      <c r="C18" s="231">
        <v>5.0199999999999996</v>
      </c>
      <c r="D18" s="119"/>
      <c r="E18" s="119"/>
      <c r="F18" s="120">
        <f t="shared" ref="F18" si="13">C18+D18+E18</f>
        <v>5.0199999999999996</v>
      </c>
      <c r="G18" s="121">
        <v>0.01</v>
      </c>
      <c r="H18" s="120">
        <f t="shared" ref="H18" si="14">F18*G18</f>
        <v>5.0199999999999995E-2</v>
      </c>
      <c r="I18" s="120">
        <f t="shared" ref="I18" si="15">H18*23.5%</f>
        <v>1.1796999999999998E-2</v>
      </c>
      <c r="J18" s="120">
        <f t="shared" ref="J18" si="16">H18+I18</f>
        <v>6.1996999999999997E-2</v>
      </c>
      <c r="K18" s="126">
        <v>9</v>
      </c>
      <c r="L18" s="123">
        <f t="shared" ref="L18" si="17">J18*K18</f>
        <v>0.55797299999999994</v>
      </c>
      <c r="M18" s="120">
        <f t="shared" si="6"/>
        <v>1.0043514</v>
      </c>
      <c r="N18" s="265" t="s">
        <v>271</v>
      </c>
    </row>
    <row r="19" spans="1:14" x14ac:dyDescent="0.25">
      <c r="A19" s="251">
        <v>9</v>
      </c>
      <c r="B19" s="253" t="s">
        <v>227</v>
      </c>
      <c r="C19" s="231">
        <v>4.68</v>
      </c>
      <c r="D19" s="119"/>
      <c r="E19" s="119">
        <v>0.2</v>
      </c>
      <c r="F19" s="120">
        <f t="shared" si="12"/>
        <v>4.88</v>
      </c>
      <c r="G19" s="121">
        <v>0.01</v>
      </c>
      <c r="H19" s="120">
        <f t="shared" si="8"/>
        <v>4.8800000000000003E-2</v>
      </c>
      <c r="I19" s="120">
        <f t="shared" si="9"/>
        <v>1.1468000000000001E-2</v>
      </c>
      <c r="J19" s="120">
        <f t="shared" si="10"/>
        <v>6.0268000000000002E-2</v>
      </c>
      <c r="K19" s="126">
        <v>9</v>
      </c>
      <c r="L19" s="123">
        <f t="shared" si="11"/>
        <v>0.54241200000000001</v>
      </c>
      <c r="M19" s="120">
        <f t="shared" si="6"/>
        <v>0.97634160000000003</v>
      </c>
      <c r="N19" s="265" t="s">
        <v>271</v>
      </c>
    </row>
    <row r="20" spans="1:14" x14ac:dyDescent="0.25">
      <c r="A20" s="251">
        <v>10</v>
      </c>
      <c r="B20" s="253" t="s">
        <v>246</v>
      </c>
      <c r="C20" s="222">
        <v>4.34</v>
      </c>
      <c r="D20" s="119"/>
      <c r="E20" s="119"/>
      <c r="F20" s="120">
        <f t="shared" si="12"/>
        <v>4.34</v>
      </c>
      <c r="G20" s="121">
        <v>0.01</v>
      </c>
      <c r="H20" s="120">
        <f t="shared" si="8"/>
        <v>4.3400000000000001E-2</v>
      </c>
      <c r="I20" s="120">
        <f t="shared" si="9"/>
        <v>1.0199E-2</v>
      </c>
      <c r="J20" s="120">
        <f t="shared" si="10"/>
        <v>5.3599000000000001E-2</v>
      </c>
      <c r="K20" s="126">
        <v>9</v>
      </c>
      <c r="L20" s="123">
        <f t="shared" si="11"/>
        <v>0.48239100000000001</v>
      </c>
      <c r="M20" s="120">
        <f t="shared" si="6"/>
        <v>0.86830380000000007</v>
      </c>
      <c r="N20" s="265" t="s">
        <v>271</v>
      </c>
    </row>
    <row r="21" spans="1:14" x14ac:dyDescent="0.25">
      <c r="A21" s="251">
        <v>11</v>
      </c>
      <c r="B21" s="253" t="s">
        <v>248</v>
      </c>
      <c r="C21" s="231">
        <v>4.58</v>
      </c>
      <c r="D21" s="119"/>
      <c r="E21" s="119"/>
      <c r="F21" s="120">
        <f t="shared" si="12"/>
        <v>4.58</v>
      </c>
      <c r="G21" s="121">
        <v>0.01</v>
      </c>
      <c r="H21" s="120">
        <f t="shared" si="8"/>
        <v>4.58E-2</v>
      </c>
      <c r="I21" s="120">
        <f t="shared" si="9"/>
        <v>1.0763E-2</v>
      </c>
      <c r="J21" s="120">
        <f t="shared" si="10"/>
        <v>5.6563000000000002E-2</v>
      </c>
      <c r="K21" s="126">
        <v>9</v>
      </c>
      <c r="L21" s="123">
        <f t="shared" si="11"/>
        <v>0.50906700000000005</v>
      </c>
      <c r="M21" s="120">
        <f t="shared" si="6"/>
        <v>0.91632060000000015</v>
      </c>
      <c r="N21" s="265" t="s">
        <v>271</v>
      </c>
    </row>
    <row r="22" spans="1:14" x14ac:dyDescent="0.25">
      <c r="A22" s="251">
        <v>12</v>
      </c>
      <c r="B22" s="253" t="s">
        <v>219</v>
      </c>
      <c r="C22" s="222">
        <v>4.34</v>
      </c>
      <c r="D22" s="119"/>
      <c r="E22" s="119">
        <v>0.45</v>
      </c>
      <c r="F22" s="120">
        <f t="shared" si="12"/>
        <v>4.79</v>
      </c>
      <c r="G22" s="121">
        <v>0.01</v>
      </c>
      <c r="H22" s="120">
        <f t="shared" si="8"/>
        <v>4.7899999999999998E-2</v>
      </c>
      <c r="I22" s="120">
        <f t="shared" si="9"/>
        <v>1.1256499999999999E-2</v>
      </c>
      <c r="J22" s="120">
        <f t="shared" si="10"/>
        <v>5.9156500000000001E-2</v>
      </c>
      <c r="K22" s="126">
        <v>8</v>
      </c>
      <c r="L22" s="123">
        <f t="shared" si="11"/>
        <v>0.47325200000000001</v>
      </c>
      <c r="M22" s="120">
        <f t="shared" si="6"/>
        <v>0.85185359999999999</v>
      </c>
      <c r="N22" s="266" t="s">
        <v>272</v>
      </c>
    </row>
    <row r="23" spans="1:14" x14ac:dyDescent="0.25">
      <c r="A23" s="251">
        <v>13</v>
      </c>
      <c r="B23" s="253" t="s">
        <v>221</v>
      </c>
      <c r="C23" s="231">
        <v>4.6500000000000004</v>
      </c>
      <c r="D23" s="119"/>
      <c r="E23" s="119">
        <v>0.35</v>
      </c>
      <c r="F23" s="120">
        <f t="shared" si="12"/>
        <v>5</v>
      </c>
      <c r="G23" s="121">
        <v>0.01</v>
      </c>
      <c r="H23" s="120">
        <f t="shared" si="8"/>
        <v>0.05</v>
      </c>
      <c r="I23" s="120">
        <f t="shared" si="9"/>
        <v>1.175E-2</v>
      </c>
      <c r="J23" s="120">
        <f t="shared" si="10"/>
        <v>6.1749999999999999E-2</v>
      </c>
      <c r="K23" s="126">
        <v>8</v>
      </c>
      <c r="L23" s="123">
        <f t="shared" si="11"/>
        <v>0.49399999999999999</v>
      </c>
      <c r="M23" s="120">
        <f t="shared" si="6"/>
        <v>0.88919999999999999</v>
      </c>
      <c r="N23" s="265" t="s">
        <v>272</v>
      </c>
    </row>
    <row r="24" spans="1:14" x14ac:dyDescent="0.25">
      <c r="A24" s="251">
        <v>14</v>
      </c>
      <c r="B24" s="253" t="s">
        <v>239</v>
      </c>
      <c r="C24" s="222">
        <v>4.34</v>
      </c>
      <c r="D24" s="119"/>
      <c r="E24" s="119"/>
      <c r="F24" s="120">
        <f t="shared" si="12"/>
        <v>4.34</v>
      </c>
      <c r="G24" s="121">
        <v>0.01</v>
      </c>
      <c r="H24" s="120">
        <f t="shared" si="8"/>
        <v>4.3400000000000001E-2</v>
      </c>
      <c r="I24" s="120">
        <f t="shared" si="9"/>
        <v>1.0199E-2</v>
      </c>
      <c r="J24" s="120">
        <f t="shared" si="10"/>
        <v>5.3599000000000001E-2</v>
      </c>
      <c r="K24" s="126">
        <v>8</v>
      </c>
      <c r="L24" s="123">
        <f t="shared" si="11"/>
        <v>0.42879200000000001</v>
      </c>
      <c r="M24" s="120">
        <f t="shared" si="6"/>
        <v>0.7718256</v>
      </c>
      <c r="N24" s="265" t="s">
        <v>272</v>
      </c>
    </row>
    <row r="25" spans="1:14" x14ac:dyDescent="0.25">
      <c r="A25" s="251">
        <v>15</v>
      </c>
      <c r="B25" s="253" t="s">
        <v>240</v>
      </c>
      <c r="C25" s="222">
        <v>4.34</v>
      </c>
      <c r="D25" s="119"/>
      <c r="E25" s="119"/>
      <c r="F25" s="120">
        <f t="shared" si="12"/>
        <v>4.34</v>
      </c>
      <c r="G25" s="121">
        <v>0.01</v>
      </c>
      <c r="H25" s="120">
        <f t="shared" si="8"/>
        <v>4.3400000000000001E-2</v>
      </c>
      <c r="I25" s="120">
        <f t="shared" si="9"/>
        <v>1.0199E-2</v>
      </c>
      <c r="J25" s="120">
        <f t="shared" si="10"/>
        <v>5.3599000000000001E-2</v>
      </c>
      <c r="K25" s="126">
        <v>8</v>
      </c>
      <c r="L25" s="123">
        <f t="shared" si="11"/>
        <v>0.42879200000000001</v>
      </c>
      <c r="M25" s="120">
        <f t="shared" si="6"/>
        <v>0.7718256</v>
      </c>
      <c r="N25" s="265" t="s">
        <v>272</v>
      </c>
    </row>
    <row r="26" spans="1:14" x14ac:dyDescent="0.25">
      <c r="A26" s="251">
        <v>16</v>
      </c>
      <c r="B26" s="253" t="s">
        <v>241</v>
      </c>
      <c r="C26" s="222">
        <v>4.34</v>
      </c>
      <c r="D26" s="119"/>
      <c r="E26" s="119"/>
      <c r="F26" s="120">
        <f t="shared" si="12"/>
        <v>4.34</v>
      </c>
      <c r="G26" s="121">
        <v>0.01</v>
      </c>
      <c r="H26" s="120">
        <f t="shared" si="8"/>
        <v>4.3400000000000001E-2</v>
      </c>
      <c r="I26" s="120">
        <f t="shared" si="9"/>
        <v>1.0199E-2</v>
      </c>
      <c r="J26" s="120">
        <f t="shared" si="10"/>
        <v>5.3599000000000001E-2</v>
      </c>
      <c r="K26" s="126">
        <v>8</v>
      </c>
      <c r="L26" s="123">
        <f t="shared" si="11"/>
        <v>0.42879200000000001</v>
      </c>
      <c r="M26" s="120">
        <f t="shared" si="6"/>
        <v>0.7718256</v>
      </c>
      <c r="N26" s="265" t="s">
        <v>272</v>
      </c>
    </row>
    <row r="27" spans="1:14" x14ac:dyDescent="0.25">
      <c r="A27" s="251">
        <v>17</v>
      </c>
      <c r="B27" s="253" t="s">
        <v>257</v>
      </c>
      <c r="C27" s="222">
        <v>4.34</v>
      </c>
      <c r="D27" s="119"/>
      <c r="E27" s="119">
        <v>0.2</v>
      </c>
      <c r="F27" s="120">
        <f t="shared" si="12"/>
        <v>4.54</v>
      </c>
      <c r="G27" s="121">
        <v>0.01</v>
      </c>
      <c r="H27" s="120">
        <f t="shared" ref="H27" si="18">F27*G27</f>
        <v>4.5400000000000003E-2</v>
      </c>
      <c r="I27" s="120">
        <f t="shared" ref="I27" si="19">H27*23.5%</f>
        <v>1.0669E-2</v>
      </c>
      <c r="J27" s="120">
        <f t="shared" ref="J27" si="20">H27+I27</f>
        <v>5.6069000000000001E-2</v>
      </c>
      <c r="K27" s="126">
        <v>8</v>
      </c>
      <c r="L27" s="123">
        <f t="shared" ref="L27" si="21">J27*K27</f>
        <v>0.44855200000000001</v>
      </c>
      <c r="M27" s="120">
        <f t="shared" si="6"/>
        <v>0.80739360000000004</v>
      </c>
      <c r="N27" s="265" t="s">
        <v>272</v>
      </c>
    </row>
    <row r="28" spans="1:14" x14ac:dyDescent="0.25">
      <c r="A28" s="251">
        <v>18</v>
      </c>
      <c r="B28" s="252" t="s">
        <v>255</v>
      </c>
      <c r="C28" s="222">
        <v>2.34</v>
      </c>
      <c r="D28" s="119"/>
      <c r="E28" s="119"/>
      <c r="F28" s="120">
        <f t="shared" si="12"/>
        <v>2.34</v>
      </c>
      <c r="G28" s="121">
        <v>0.01</v>
      </c>
      <c r="H28" s="120">
        <f t="shared" ref="H28" si="22">F28*G28</f>
        <v>2.3400000000000001E-2</v>
      </c>
      <c r="I28" s="120">
        <f t="shared" ref="I28" si="23">H28*23.5%</f>
        <v>5.4989999999999995E-3</v>
      </c>
      <c r="J28" s="120">
        <f t="shared" ref="J28" si="24">H28+I28</f>
        <v>2.8899000000000001E-2</v>
      </c>
      <c r="K28" s="126">
        <v>8</v>
      </c>
      <c r="L28" s="123">
        <f t="shared" ref="L28" si="25">J28*K28</f>
        <v>0.23119200000000001</v>
      </c>
      <c r="M28" s="120">
        <f t="shared" si="6"/>
        <v>0.4161456</v>
      </c>
      <c r="N28" s="264" t="s">
        <v>272</v>
      </c>
    </row>
    <row r="29" spans="1:14" x14ac:dyDescent="0.25">
      <c r="A29" s="251">
        <v>19</v>
      </c>
      <c r="B29" s="252" t="s">
        <v>250</v>
      </c>
      <c r="C29" s="222">
        <v>3.33</v>
      </c>
      <c r="D29" s="119"/>
      <c r="E29" s="119"/>
      <c r="F29" s="120">
        <f t="shared" si="12"/>
        <v>3.33</v>
      </c>
      <c r="G29" s="121">
        <v>0.01</v>
      </c>
      <c r="H29" s="120">
        <f t="shared" si="8"/>
        <v>3.3300000000000003E-2</v>
      </c>
      <c r="I29" s="120">
        <f t="shared" si="9"/>
        <v>7.8255000000000009E-3</v>
      </c>
      <c r="J29" s="120">
        <f t="shared" si="10"/>
        <v>4.1125500000000002E-2</v>
      </c>
      <c r="K29" s="126">
        <v>8</v>
      </c>
      <c r="L29" s="123">
        <f t="shared" si="11"/>
        <v>0.32900400000000002</v>
      </c>
      <c r="M29" s="120">
        <f t="shared" si="6"/>
        <v>0.59220720000000004</v>
      </c>
      <c r="N29" s="264" t="s">
        <v>272</v>
      </c>
    </row>
    <row r="30" spans="1:14" x14ac:dyDescent="0.25">
      <c r="A30" s="251">
        <v>20</v>
      </c>
      <c r="B30" s="252" t="s">
        <v>254</v>
      </c>
      <c r="C30" s="222">
        <v>2.34</v>
      </c>
      <c r="D30" s="119"/>
      <c r="E30" s="119"/>
      <c r="F30" s="120">
        <f t="shared" si="12"/>
        <v>2.34</v>
      </c>
      <c r="G30" s="121">
        <v>0.01</v>
      </c>
      <c r="H30" s="120">
        <f t="shared" si="8"/>
        <v>2.3400000000000001E-2</v>
      </c>
      <c r="I30" s="120">
        <f t="shared" si="9"/>
        <v>5.4989999999999995E-3</v>
      </c>
      <c r="J30" s="120">
        <f t="shared" si="10"/>
        <v>2.8899000000000001E-2</v>
      </c>
      <c r="K30" s="126">
        <v>7</v>
      </c>
      <c r="L30" s="123">
        <f t="shared" si="11"/>
        <v>0.202293</v>
      </c>
      <c r="M30" s="120">
        <f t="shared" si="6"/>
        <v>0.36412739999999999</v>
      </c>
      <c r="N30" s="264" t="s">
        <v>273</v>
      </c>
    </row>
    <row r="31" spans="1:14" x14ac:dyDescent="0.25">
      <c r="A31" s="251">
        <v>21</v>
      </c>
      <c r="B31" s="253" t="s">
        <v>228</v>
      </c>
      <c r="C31" s="231">
        <v>4.68</v>
      </c>
      <c r="D31" s="119"/>
      <c r="E31" s="119"/>
      <c r="F31" s="120">
        <f t="shared" si="12"/>
        <v>4.68</v>
      </c>
      <c r="G31" s="121">
        <v>0.01</v>
      </c>
      <c r="H31" s="120">
        <f t="shared" si="8"/>
        <v>4.6800000000000001E-2</v>
      </c>
      <c r="I31" s="120">
        <f t="shared" si="9"/>
        <v>1.0997999999999999E-2</v>
      </c>
      <c r="J31" s="120">
        <f t="shared" si="10"/>
        <v>5.7798000000000002E-2</v>
      </c>
      <c r="K31" s="126">
        <v>7</v>
      </c>
      <c r="L31" s="123">
        <f t="shared" si="11"/>
        <v>0.404586</v>
      </c>
      <c r="M31" s="120">
        <f t="shared" si="6"/>
        <v>0.72825479999999998</v>
      </c>
      <c r="N31" s="265" t="s">
        <v>273</v>
      </c>
    </row>
    <row r="32" spans="1:14" x14ac:dyDescent="0.25">
      <c r="A32" s="251">
        <v>22</v>
      </c>
      <c r="B32" s="253" t="s">
        <v>220</v>
      </c>
      <c r="C32" s="231">
        <v>4.68</v>
      </c>
      <c r="D32" s="119"/>
      <c r="E32" s="119"/>
      <c r="F32" s="120">
        <f t="shared" si="12"/>
        <v>4.68</v>
      </c>
      <c r="G32" s="121">
        <v>0.01</v>
      </c>
      <c r="H32" s="120">
        <f t="shared" si="8"/>
        <v>4.6800000000000001E-2</v>
      </c>
      <c r="I32" s="120">
        <f t="shared" si="9"/>
        <v>1.0997999999999999E-2</v>
      </c>
      <c r="J32" s="120">
        <f t="shared" si="10"/>
        <v>5.7798000000000002E-2</v>
      </c>
      <c r="K32" s="126">
        <v>7</v>
      </c>
      <c r="L32" s="123">
        <f t="shared" si="11"/>
        <v>0.404586</v>
      </c>
      <c r="M32" s="120">
        <f t="shared" si="6"/>
        <v>0.72825479999999998</v>
      </c>
      <c r="N32" s="265" t="s">
        <v>273</v>
      </c>
    </row>
    <row r="33" spans="1:14" x14ac:dyDescent="0.25">
      <c r="A33" s="251">
        <v>23</v>
      </c>
      <c r="B33" s="253" t="s">
        <v>235</v>
      </c>
      <c r="C33" s="231">
        <v>4.8899999999999997</v>
      </c>
      <c r="D33" s="119"/>
      <c r="E33" s="119"/>
      <c r="F33" s="120">
        <f t="shared" si="12"/>
        <v>4.8899999999999997</v>
      </c>
      <c r="G33" s="121">
        <v>0.01</v>
      </c>
      <c r="H33" s="120">
        <f t="shared" si="8"/>
        <v>4.8899999999999999E-2</v>
      </c>
      <c r="I33" s="120">
        <f t="shared" si="9"/>
        <v>1.14915E-2</v>
      </c>
      <c r="J33" s="120">
        <f t="shared" si="10"/>
        <v>6.0391500000000001E-2</v>
      </c>
      <c r="K33" s="126">
        <v>6</v>
      </c>
      <c r="L33" s="123">
        <f t="shared" si="11"/>
        <v>0.36234900000000003</v>
      </c>
      <c r="M33" s="120">
        <f t="shared" si="6"/>
        <v>0.65222820000000004</v>
      </c>
      <c r="N33" s="265" t="s">
        <v>274</v>
      </c>
    </row>
    <row r="34" spans="1:14" x14ac:dyDescent="0.25">
      <c r="A34" s="251">
        <v>24</v>
      </c>
      <c r="B34" s="253" t="s">
        <v>244</v>
      </c>
      <c r="C34" s="231">
        <v>3.66</v>
      </c>
      <c r="D34" s="119"/>
      <c r="E34" s="119"/>
      <c r="F34" s="120">
        <f t="shared" si="12"/>
        <v>3.66</v>
      </c>
      <c r="G34" s="121">
        <v>0.01</v>
      </c>
      <c r="H34" s="120">
        <f t="shared" si="8"/>
        <v>3.6600000000000001E-2</v>
      </c>
      <c r="I34" s="120">
        <f t="shared" si="9"/>
        <v>8.6009999999999993E-3</v>
      </c>
      <c r="J34" s="120">
        <f t="shared" si="10"/>
        <v>4.5200999999999998E-2</v>
      </c>
      <c r="K34" s="126">
        <v>5</v>
      </c>
      <c r="L34" s="123">
        <f t="shared" si="11"/>
        <v>0.22600499999999998</v>
      </c>
      <c r="M34" s="120">
        <f t="shared" si="6"/>
        <v>0.40680899999999998</v>
      </c>
      <c r="N34" s="265" t="s">
        <v>275</v>
      </c>
    </row>
    <row r="35" spans="1:14" x14ac:dyDescent="0.25">
      <c r="A35" s="251">
        <v>25</v>
      </c>
      <c r="B35" s="253" t="s">
        <v>245</v>
      </c>
      <c r="C35" s="222">
        <v>4.34</v>
      </c>
      <c r="D35" s="119"/>
      <c r="E35" s="119"/>
      <c r="F35" s="120">
        <f t="shared" si="12"/>
        <v>4.34</v>
      </c>
      <c r="G35" s="121">
        <v>0.01</v>
      </c>
      <c r="H35" s="120">
        <f t="shared" ref="H35" si="26">F35*G35</f>
        <v>4.3400000000000001E-2</v>
      </c>
      <c r="I35" s="120">
        <f t="shared" ref="I35" si="27">H35*23.5%</f>
        <v>1.0199E-2</v>
      </c>
      <c r="J35" s="120">
        <f t="shared" ref="J35" si="28">H35+I35</f>
        <v>5.3599000000000001E-2</v>
      </c>
      <c r="K35" s="126">
        <v>5</v>
      </c>
      <c r="L35" s="123">
        <f t="shared" ref="L35" si="29">J35*K35</f>
        <v>0.26799499999999998</v>
      </c>
      <c r="M35" s="120">
        <f t="shared" si="6"/>
        <v>0.48239099999999996</v>
      </c>
      <c r="N35" s="265" t="s">
        <v>275</v>
      </c>
    </row>
    <row r="36" spans="1:14" x14ac:dyDescent="0.25">
      <c r="A36" s="251">
        <v>26</v>
      </c>
      <c r="B36" s="253" t="s">
        <v>223</v>
      </c>
      <c r="C36" s="231">
        <v>5.0199999999999996</v>
      </c>
      <c r="D36" s="119"/>
      <c r="E36" s="119"/>
      <c r="F36" s="120">
        <f t="shared" si="12"/>
        <v>5.0199999999999996</v>
      </c>
      <c r="G36" s="121">
        <v>0.01</v>
      </c>
      <c r="H36" s="120">
        <f t="shared" si="8"/>
        <v>5.0199999999999995E-2</v>
      </c>
      <c r="I36" s="120">
        <f t="shared" si="9"/>
        <v>1.1796999999999998E-2</v>
      </c>
      <c r="J36" s="120">
        <f t="shared" si="10"/>
        <v>6.1996999999999997E-2</v>
      </c>
      <c r="K36" s="126">
        <v>5</v>
      </c>
      <c r="L36" s="123">
        <f t="shared" si="11"/>
        <v>0.30998499999999996</v>
      </c>
      <c r="M36" s="120">
        <f t="shared" si="6"/>
        <v>0.55797299999999994</v>
      </c>
      <c r="N36" s="265" t="s">
        <v>275</v>
      </c>
    </row>
    <row r="37" spans="1:14" x14ac:dyDescent="0.25">
      <c r="A37" s="251">
        <v>27</v>
      </c>
      <c r="B37" s="253" t="s">
        <v>247</v>
      </c>
      <c r="C37" s="231">
        <v>5.0199999999999996</v>
      </c>
      <c r="D37" s="119"/>
      <c r="E37" s="119"/>
      <c r="F37" s="120">
        <f t="shared" si="12"/>
        <v>5.0199999999999996</v>
      </c>
      <c r="G37" s="121">
        <v>0.01</v>
      </c>
      <c r="H37" s="120">
        <f t="shared" si="8"/>
        <v>5.0199999999999995E-2</v>
      </c>
      <c r="I37" s="120">
        <f t="shared" si="9"/>
        <v>1.1796999999999998E-2</v>
      </c>
      <c r="J37" s="120">
        <f t="shared" si="10"/>
        <v>6.1996999999999997E-2</v>
      </c>
      <c r="K37" s="126">
        <v>4</v>
      </c>
      <c r="L37" s="123">
        <f t="shared" si="11"/>
        <v>0.24798799999999999</v>
      </c>
      <c r="M37" s="120">
        <f t="shared" si="6"/>
        <v>0.44637840000000001</v>
      </c>
      <c r="N37" s="265" t="s">
        <v>276</v>
      </c>
    </row>
    <row r="38" spans="1:14" x14ac:dyDescent="0.25">
      <c r="A38" s="251">
        <v>28</v>
      </c>
      <c r="B38" s="252" t="s">
        <v>253</v>
      </c>
      <c r="C38" s="222">
        <v>3</v>
      </c>
      <c r="D38" s="119"/>
      <c r="E38" s="119"/>
      <c r="F38" s="120">
        <f t="shared" si="12"/>
        <v>3</v>
      </c>
      <c r="G38" s="121">
        <v>0.01</v>
      </c>
      <c r="H38" s="120">
        <f t="shared" si="8"/>
        <v>0.03</v>
      </c>
      <c r="I38" s="120">
        <f t="shared" si="9"/>
        <v>7.049999999999999E-3</v>
      </c>
      <c r="J38" s="120">
        <f t="shared" si="10"/>
        <v>3.705E-2</v>
      </c>
      <c r="K38" s="126">
        <v>4</v>
      </c>
      <c r="L38" s="123">
        <f t="shared" si="11"/>
        <v>0.1482</v>
      </c>
      <c r="M38" s="120">
        <f t="shared" si="6"/>
        <v>0.26676</v>
      </c>
      <c r="N38" s="264" t="s">
        <v>276</v>
      </c>
    </row>
    <row r="39" spans="1:14" x14ac:dyDescent="0.25">
      <c r="A39" s="251">
        <v>29</v>
      </c>
      <c r="B39" s="253" t="s">
        <v>232</v>
      </c>
      <c r="C39" s="231">
        <v>5.0199999999999996</v>
      </c>
      <c r="D39" s="119"/>
      <c r="E39" s="119"/>
      <c r="F39" s="120">
        <f t="shared" si="12"/>
        <v>5.0199999999999996</v>
      </c>
      <c r="G39" s="121">
        <v>0.01</v>
      </c>
      <c r="H39" s="120">
        <f t="shared" si="8"/>
        <v>5.0199999999999995E-2</v>
      </c>
      <c r="I39" s="120">
        <f t="shared" si="9"/>
        <v>1.1796999999999998E-2</v>
      </c>
      <c r="J39" s="120">
        <f t="shared" si="10"/>
        <v>6.1996999999999997E-2</v>
      </c>
      <c r="K39" s="126">
        <v>4</v>
      </c>
      <c r="L39" s="123">
        <f t="shared" si="11"/>
        <v>0.24798799999999999</v>
      </c>
      <c r="M39" s="120">
        <f t="shared" si="6"/>
        <v>0.44637840000000001</v>
      </c>
      <c r="N39" s="265" t="s">
        <v>276</v>
      </c>
    </row>
    <row r="40" spans="1:14" x14ac:dyDescent="0.25">
      <c r="A40" s="251">
        <v>30</v>
      </c>
      <c r="B40" s="253" t="s">
        <v>229</v>
      </c>
      <c r="C40" s="231">
        <v>4.8899999999999997</v>
      </c>
      <c r="D40" s="119"/>
      <c r="E40" s="119"/>
      <c r="F40" s="120">
        <f t="shared" si="12"/>
        <v>4.8899999999999997</v>
      </c>
      <c r="G40" s="121">
        <v>0.01</v>
      </c>
      <c r="H40" s="120">
        <f t="shared" si="8"/>
        <v>4.8899999999999999E-2</v>
      </c>
      <c r="I40" s="120">
        <f t="shared" si="9"/>
        <v>1.14915E-2</v>
      </c>
      <c r="J40" s="120">
        <f t="shared" si="10"/>
        <v>6.0391500000000001E-2</v>
      </c>
      <c r="K40" s="126">
        <v>4</v>
      </c>
      <c r="L40" s="123">
        <f t="shared" si="11"/>
        <v>0.241566</v>
      </c>
      <c r="M40" s="120">
        <f t="shared" si="6"/>
        <v>0.43481880000000001</v>
      </c>
      <c r="N40" s="265" t="s">
        <v>276</v>
      </c>
    </row>
    <row r="41" spans="1:14" x14ac:dyDescent="0.25">
      <c r="A41" s="251">
        <v>31</v>
      </c>
      <c r="B41" s="253" t="s">
        <v>225</v>
      </c>
      <c r="C41" s="231">
        <v>5.0199999999999996</v>
      </c>
      <c r="D41" s="119"/>
      <c r="E41" s="119"/>
      <c r="F41" s="120">
        <f t="shared" si="12"/>
        <v>5.0199999999999996</v>
      </c>
      <c r="G41" s="121">
        <v>0.01</v>
      </c>
      <c r="H41" s="120">
        <f t="shared" si="8"/>
        <v>5.0199999999999995E-2</v>
      </c>
      <c r="I41" s="120">
        <f t="shared" si="9"/>
        <v>1.1796999999999998E-2</v>
      </c>
      <c r="J41" s="120">
        <f t="shared" si="10"/>
        <v>6.1996999999999997E-2</v>
      </c>
      <c r="K41" s="126">
        <v>4</v>
      </c>
      <c r="L41" s="123">
        <f t="shared" si="11"/>
        <v>0.24798799999999999</v>
      </c>
      <c r="M41" s="120">
        <f t="shared" si="6"/>
        <v>0.44637840000000001</v>
      </c>
      <c r="N41" s="265" t="s">
        <v>276</v>
      </c>
    </row>
    <row r="42" spans="1:14" x14ac:dyDescent="0.25">
      <c r="A42" s="251">
        <v>32</v>
      </c>
      <c r="B42" s="253" t="s">
        <v>226</v>
      </c>
      <c r="C42" s="222">
        <v>4.34</v>
      </c>
      <c r="D42" s="119"/>
      <c r="E42" s="119"/>
      <c r="F42" s="120">
        <f t="shared" si="12"/>
        <v>4.34</v>
      </c>
      <c r="G42" s="121">
        <v>0.01</v>
      </c>
      <c r="H42" s="120">
        <f t="shared" si="8"/>
        <v>4.3400000000000001E-2</v>
      </c>
      <c r="I42" s="120">
        <f t="shared" si="9"/>
        <v>1.0199E-2</v>
      </c>
      <c r="J42" s="120">
        <f t="shared" si="10"/>
        <v>5.3599000000000001E-2</v>
      </c>
      <c r="K42" s="126">
        <v>4</v>
      </c>
      <c r="L42" s="123">
        <f t="shared" si="11"/>
        <v>0.214396</v>
      </c>
      <c r="M42" s="120">
        <f t="shared" si="6"/>
        <v>0.3859128</v>
      </c>
      <c r="N42" s="265" t="s">
        <v>276</v>
      </c>
    </row>
    <row r="43" spans="1:14" x14ac:dyDescent="0.25">
      <c r="A43" s="251">
        <v>33</v>
      </c>
      <c r="B43" s="253" t="s">
        <v>242</v>
      </c>
      <c r="C43" s="235">
        <v>4.34</v>
      </c>
      <c r="D43" s="119"/>
      <c r="E43" s="119"/>
      <c r="F43" s="120">
        <f t="shared" si="12"/>
        <v>4.34</v>
      </c>
      <c r="G43" s="121">
        <v>0.01</v>
      </c>
      <c r="H43" s="120">
        <f t="shared" si="8"/>
        <v>4.3400000000000001E-2</v>
      </c>
      <c r="I43" s="120">
        <f t="shared" si="9"/>
        <v>1.0199E-2</v>
      </c>
      <c r="J43" s="120">
        <f t="shared" si="10"/>
        <v>5.3599000000000001E-2</v>
      </c>
      <c r="K43" s="126">
        <v>5</v>
      </c>
      <c r="L43" s="123">
        <f t="shared" si="11"/>
        <v>0.26799499999999998</v>
      </c>
      <c r="M43" s="120">
        <f t="shared" si="6"/>
        <v>0.48239099999999996</v>
      </c>
      <c r="N43" s="265" t="s">
        <v>277</v>
      </c>
    </row>
    <row r="44" spans="1:14" x14ac:dyDescent="0.25">
      <c r="A44" s="251">
        <v>34</v>
      </c>
      <c r="B44" s="252" t="s">
        <v>237</v>
      </c>
      <c r="C44" s="231">
        <v>4.9800000000000004</v>
      </c>
      <c r="D44" s="119"/>
      <c r="E44" s="119"/>
      <c r="F44" s="120">
        <f t="shared" si="12"/>
        <v>4.9800000000000004</v>
      </c>
      <c r="G44" s="121">
        <v>0.01</v>
      </c>
      <c r="H44" s="120">
        <f t="shared" si="8"/>
        <v>4.9800000000000004E-2</v>
      </c>
      <c r="I44" s="120">
        <f t="shared" si="9"/>
        <v>1.1703E-2</v>
      </c>
      <c r="J44" s="120">
        <f t="shared" si="10"/>
        <v>6.1503000000000002E-2</v>
      </c>
      <c r="K44" s="126">
        <v>3</v>
      </c>
      <c r="L44" s="123">
        <f t="shared" si="11"/>
        <v>0.18450900000000001</v>
      </c>
      <c r="M44" s="120">
        <f t="shared" si="6"/>
        <v>0.33211620000000003</v>
      </c>
      <c r="N44" s="264" t="s">
        <v>277</v>
      </c>
    </row>
    <row r="45" spans="1:14" x14ac:dyDescent="0.25">
      <c r="A45" s="251">
        <v>35</v>
      </c>
      <c r="B45" s="253" t="s">
        <v>243</v>
      </c>
      <c r="C45" s="231">
        <v>3.99</v>
      </c>
      <c r="D45" s="119"/>
      <c r="E45" s="119"/>
      <c r="F45" s="120">
        <f t="shared" si="12"/>
        <v>3.99</v>
      </c>
      <c r="G45" s="121">
        <v>0.01</v>
      </c>
      <c r="H45" s="120">
        <f t="shared" si="8"/>
        <v>3.9900000000000005E-2</v>
      </c>
      <c r="I45" s="120">
        <f t="shared" si="9"/>
        <v>9.3765000000000012E-3</v>
      </c>
      <c r="J45" s="120">
        <f t="shared" si="10"/>
        <v>4.9276500000000008E-2</v>
      </c>
      <c r="K45" s="126">
        <v>2</v>
      </c>
      <c r="L45" s="123">
        <f t="shared" si="11"/>
        <v>9.8553000000000016E-2</v>
      </c>
      <c r="M45" s="120">
        <f t="shared" si="6"/>
        <v>0.17739540000000004</v>
      </c>
      <c r="N45" s="265" t="s">
        <v>278</v>
      </c>
    </row>
    <row r="46" spans="1:14" x14ac:dyDescent="0.25">
      <c r="A46" s="251">
        <v>36</v>
      </c>
      <c r="B46" s="253" t="s">
        <v>222</v>
      </c>
      <c r="C46" s="231">
        <v>5.36</v>
      </c>
      <c r="D46" s="119"/>
      <c r="E46" s="119"/>
      <c r="F46" s="120">
        <f t="shared" si="12"/>
        <v>5.36</v>
      </c>
      <c r="G46" s="121">
        <v>0.01</v>
      </c>
      <c r="H46" s="120">
        <f t="shared" si="8"/>
        <v>5.3600000000000002E-2</v>
      </c>
      <c r="I46" s="120">
        <f t="shared" si="9"/>
        <v>1.2596E-2</v>
      </c>
      <c r="J46" s="120">
        <f t="shared" si="10"/>
        <v>6.6196000000000005E-2</v>
      </c>
      <c r="K46" s="126">
        <v>1</v>
      </c>
      <c r="L46" s="123">
        <f t="shared" si="11"/>
        <v>6.6196000000000005E-2</v>
      </c>
      <c r="M46" s="120">
        <f t="shared" si="6"/>
        <v>0.11915280000000002</v>
      </c>
      <c r="N46" s="266" t="s">
        <v>279</v>
      </c>
    </row>
    <row r="47" spans="1:14" x14ac:dyDescent="0.25">
      <c r="A47" s="251">
        <v>37</v>
      </c>
      <c r="B47" s="253" t="s">
        <v>224</v>
      </c>
      <c r="C47" s="233">
        <v>4.34</v>
      </c>
      <c r="D47" s="119"/>
      <c r="E47" s="119"/>
      <c r="F47" s="120">
        <f t="shared" si="12"/>
        <v>4.34</v>
      </c>
      <c r="G47" s="121">
        <v>0.01</v>
      </c>
      <c r="H47" s="120">
        <f t="shared" si="8"/>
        <v>4.3400000000000001E-2</v>
      </c>
      <c r="I47" s="120">
        <f t="shared" si="9"/>
        <v>1.0199E-2</v>
      </c>
      <c r="J47" s="120">
        <f t="shared" si="10"/>
        <v>5.3599000000000001E-2</v>
      </c>
      <c r="K47" s="126">
        <v>1</v>
      </c>
      <c r="L47" s="123">
        <f t="shared" si="11"/>
        <v>5.3599000000000001E-2</v>
      </c>
      <c r="M47" s="120">
        <f t="shared" si="6"/>
        <v>9.64782E-2</v>
      </c>
      <c r="N47" s="265" t="s">
        <v>279</v>
      </c>
    </row>
    <row r="48" spans="1:14" x14ac:dyDescent="0.25">
      <c r="A48" s="251">
        <v>38</v>
      </c>
      <c r="B48" s="253" t="s">
        <v>233</v>
      </c>
      <c r="C48" s="231">
        <v>4.8899999999999997</v>
      </c>
      <c r="D48" s="119"/>
      <c r="E48" s="119"/>
      <c r="F48" s="120">
        <f t="shared" si="12"/>
        <v>4.8899999999999997</v>
      </c>
      <c r="G48" s="121">
        <v>0.01</v>
      </c>
      <c r="H48" s="120">
        <f t="shared" si="8"/>
        <v>4.8899999999999999E-2</v>
      </c>
      <c r="I48" s="120">
        <f t="shared" si="9"/>
        <v>1.14915E-2</v>
      </c>
      <c r="J48" s="120">
        <f t="shared" si="10"/>
        <v>6.0391500000000001E-2</v>
      </c>
      <c r="K48" s="126">
        <v>1</v>
      </c>
      <c r="L48" s="123">
        <f t="shared" si="11"/>
        <v>6.0391500000000001E-2</v>
      </c>
      <c r="M48" s="120">
        <f t="shared" si="6"/>
        <v>0.1087047</v>
      </c>
      <c r="N48" s="265" t="s">
        <v>279</v>
      </c>
    </row>
    <row r="50" spans="1:14" ht="16.5" x14ac:dyDescent="0.25">
      <c r="A50" s="363"/>
      <c r="B50" s="363"/>
      <c r="C50" s="175"/>
      <c r="D50" s="175"/>
      <c r="E50" s="175"/>
      <c r="F50" s="113"/>
      <c r="G50" s="113"/>
      <c r="H50" s="113"/>
      <c r="I50" s="364" t="s">
        <v>283</v>
      </c>
      <c r="J50" s="364"/>
      <c r="K50" s="364"/>
      <c r="L50" s="364"/>
      <c r="M50" s="364"/>
      <c r="N50" s="364"/>
    </row>
    <row r="51" spans="1:14" ht="16.5" x14ac:dyDescent="0.25">
      <c r="A51" s="363" t="s">
        <v>155</v>
      </c>
      <c r="B51" s="363"/>
      <c r="C51" s="175"/>
      <c r="D51" s="175"/>
      <c r="E51" s="175"/>
      <c r="F51" s="113"/>
      <c r="G51" s="113"/>
      <c r="H51" s="113"/>
      <c r="I51" s="363" t="s">
        <v>71</v>
      </c>
      <c r="J51" s="363"/>
      <c r="K51" s="363"/>
      <c r="L51" s="363"/>
      <c r="M51" s="363"/>
      <c r="N51" s="363"/>
    </row>
    <row r="52" spans="1:14" ht="16.5" x14ac:dyDescent="0.25">
      <c r="A52" s="114"/>
      <c r="B52" s="114"/>
      <c r="C52" s="114"/>
      <c r="D52" s="114"/>
      <c r="E52" s="114"/>
      <c r="F52" s="113"/>
      <c r="G52" s="113"/>
      <c r="H52" s="113"/>
      <c r="I52" s="364"/>
      <c r="J52" s="364"/>
      <c r="K52" s="364"/>
      <c r="L52" s="364"/>
      <c r="M52" s="364"/>
      <c r="N52" s="364"/>
    </row>
    <row r="53" spans="1:14" ht="16.5" x14ac:dyDescent="0.25">
      <c r="A53" s="114"/>
      <c r="B53" s="114"/>
      <c r="C53" s="114"/>
      <c r="D53" s="114"/>
      <c r="E53" s="114"/>
      <c r="F53" s="113"/>
      <c r="G53" s="113"/>
      <c r="H53" s="113"/>
      <c r="I53" s="114"/>
      <c r="J53" s="114"/>
      <c r="K53" s="114"/>
      <c r="L53" s="217"/>
      <c r="M53" s="114"/>
      <c r="N53" s="114"/>
    </row>
    <row r="54" spans="1:14" ht="16.5" x14ac:dyDescent="0.25">
      <c r="A54" s="114"/>
      <c r="B54" s="114"/>
      <c r="C54" s="114"/>
      <c r="D54" s="114"/>
      <c r="E54" s="114"/>
      <c r="F54" s="113"/>
      <c r="G54" s="113"/>
      <c r="H54" s="113"/>
      <c r="I54" s="114"/>
      <c r="J54" s="114"/>
      <c r="K54" s="114"/>
      <c r="L54" s="114"/>
      <c r="M54" s="114"/>
      <c r="N54" s="114"/>
    </row>
    <row r="55" spans="1:14" ht="16.5" x14ac:dyDescent="0.25">
      <c r="A55" s="114"/>
      <c r="B55" s="114"/>
      <c r="C55" s="114"/>
      <c r="D55" s="114"/>
      <c r="E55" s="114"/>
      <c r="F55" s="113"/>
      <c r="G55" s="113"/>
      <c r="H55" s="113"/>
      <c r="I55" s="114"/>
      <c r="J55" s="114"/>
      <c r="K55" s="114"/>
      <c r="L55" s="114"/>
      <c r="M55" s="114"/>
      <c r="N55" s="114"/>
    </row>
    <row r="56" spans="1:14" ht="16.5" x14ac:dyDescent="0.25">
      <c r="A56" s="358"/>
      <c r="B56" s="358"/>
      <c r="C56" s="174"/>
      <c r="D56" s="174"/>
      <c r="E56" s="174"/>
      <c r="F56" s="173"/>
      <c r="G56" s="173"/>
      <c r="H56" s="173"/>
      <c r="I56" s="358" t="s">
        <v>219</v>
      </c>
      <c r="J56" s="358"/>
      <c r="K56" s="358"/>
      <c r="L56" s="358"/>
      <c r="M56" s="358"/>
      <c r="N56" s="358"/>
    </row>
    <row r="57" spans="1:14" ht="16.5" x14ac:dyDescent="0.25">
      <c r="A57" s="358" t="s">
        <v>258</v>
      </c>
      <c r="B57" s="358"/>
      <c r="C57" s="172"/>
      <c r="D57" s="172"/>
      <c r="E57" s="172"/>
      <c r="F57" s="173"/>
      <c r="G57" s="173"/>
      <c r="H57" s="173"/>
      <c r="I57" s="358"/>
      <c r="J57" s="358"/>
      <c r="K57" s="358"/>
      <c r="L57" s="358"/>
      <c r="M57" s="358"/>
      <c r="N57" s="358"/>
    </row>
    <row r="58" spans="1:14" ht="16.5" x14ac:dyDescent="0.25">
      <c r="A58" s="113"/>
      <c r="B58" s="113"/>
      <c r="C58" s="113"/>
      <c r="D58" s="113"/>
      <c r="E58" s="113"/>
      <c r="F58" s="113"/>
      <c r="G58" s="113"/>
      <c r="H58" s="113"/>
      <c r="I58" s="113"/>
      <c r="J58" s="113"/>
      <c r="K58" s="113"/>
      <c r="L58" s="113"/>
      <c r="M58" s="113"/>
      <c r="N58" s="113"/>
    </row>
    <row r="59" spans="1:14" ht="16.5" x14ac:dyDescent="0.25">
      <c r="A59" s="113"/>
      <c r="B59" s="113"/>
      <c r="C59" s="113"/>
      <c r="D59" s="113"/>
      <c r="E59" s="113"/>
      <c r="F59" s="113"/>
      <c r="G59" s="113"/>
      <c r="H59" s="113"/>
      <c r="I59" s="113"/>
      <c r="J59" s="113"/>
      <c r="K59" s="113"/>
      <c r="L59" s="113"/>
      <c r="M59" s="113"/>
      <c r="N59" s="113"/>
    </row>
    <row r="60" spans="1:14" ht="16.5" x14ac:dyDescent="0.25">
      <c r="A60" s="113"/>
      <c r="B60" s="113"/>
      <c r="C60" s="113"/>
      <c r="D60" s="113"/>
      <c r="E60" s="113"/>
      <c r="F60" s="113"/>
      <c r="G60" s="113"/>
      <c r="H60" s="113"/>
      <c r="I60" s="113"/>
      <c r="J60" s="113"/>
      <c r="K60" s="113"/>
      <c r="L60" s="113"/>
      <c r="M60" s="113"/>
      <c r="N60" s="113"/>
    </row>
    <row r="61" spans="1:14" ht="16.5" x14ac:dyDescent="0.25">
      <c r="A61" s="113"/>
      <c r="B61" s="113"/>
      <c r="C61" s="113"/>
      <c r="D61" s="113"/>
      <c r="E61" s="113"/>
      <c r="F61" s="113"/>
      <c r="G61" s="113"/>
      <c r="H61" s="113"/>
      <c r="I61" s="113"/>
      <c r="J61" s="113"/>
      <c r="K61" s="113"/>
      <c r="L61" s="113"/>
      <c r="M61" s="113"/>
      <c r="N61" s="113"/>
    </row>
  </sheetData>
  <mergeCells count="27">
    <mergeCell ref="A57:B57"/>
    <mergeCell ref="I57:N57"/>
    <mergeCell ref="K6:K8"/>
    <mergeCell ref="L6:L8"/>
    <mergeCell ref="M6:M8"/>
    <mergeCell ref="N6:N8"/>
    <mergeCell ref="G7:G8"/>
    <mergeCell ref="H7:H8"/>
    <mergeCell ref="I7:I8"/>
    <mergeCell ref="J7:J8"/>
    <mergeCell ref="A50:B50"/>
    <mergeCell ref="I50:N50"/>
    <mergeCell ref="A51:B51"/>
    <mergeCell ref="I51:N51"/>
    <mergeCell ref="I52:N52"/>
    <mergeCell ref="A56:B56"/>
    <mergeCell ref="I56:N56"/>
    <mergeCell ref="A1:D1"/>
    <mergeCell ref="A2:D2"/>
    <mergeCell ref="A4:N4"/>
    <mergeCell ref="A6:A8"/>
    <mergeCell ref="B6:B8"/>
    <mergeCell ref="C6:C8"/>
    <mergeCell ref="D6:D8"/>
    <mergeCell ref="E6:E8"/>
    <mergeCell ref="F6:F8"/>
    <mergeCell ref="G6:J6"/>
  </mergeCells>
  <pageMargins left="0.2" right="0.2" top="0.33" bottom="0.21" header="0.31496062992125984" footer="0.31496062992125984"/>
  <pageSetup paperSize="9" orientation="landscape"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tabSelected="1" topLeftCell="A2" workbookViewId="0">
      <pane ySplit="9" topLeftCell="A50" activePane="bottomLeft" state="frozen"/>
      <selection activeCell="A2" sqref="A2"/>
      <selection pane="bottomLeft" activeCell="F55" sqref="F55"/>
    </sheetView>
  </sheetViews>
  <sheetFormatPr defaultColWidth="8.85546875" defaultRowHeight="15" x14ac:dyDescent="0.25"/>
  <cols>
    <col min="1" max="1" width="5.28515625" style="97" customWidth="1"/>
    <col min="2" max="2" width="23" style="97" customWidth="1"/>
    <col min="3" max="3" width="7.85546875" style="97" customWidth="1"/>
    <col min="4" max="8" width="8.85546875" style="97"/>
    <col min="9" max="9" width="11.7109375" style="97" customWidth="1"/>
    <col min="10" max="12" width="8.85546875" style="97"/>
    <col min="13" max="13" width="11.42578125" style="97" customWidth="1"/>
    <col min="14" max="14" width="12" style="97" customWidth="1"/>
    <col min="15" max="16384" width="8.85546875" style="97"/>
  </cols>
  <sheetData>
    <row r="1" spans="1:14" ht="15.75" x14ac:dyDescent="0.25">
      <c r="A1" s="345" t="s">
        <v>74</v>
      </c>
      <c r="B1" s="345"/>
      <c r="C1" s="345"/>
      <c r="D1" s="345"/>
    </row>
    <row r="2" spans="1:14" ht="15.75" x14ac:dyDescent="0.25">
      <c r="A2" s="313" t="s">
        <v>263</v>
      </c>
      <c r="B2" s="313"/>
      <c r="C2" s="313"/>
      <c r="D2" s="313"/>
      <c r="E2" s="99"/>
      <c r="F2" s="99"/>
      <c r="G2" s="100"/>
      <c r="H2" s="100"/>
      <c r="I2" s="101"/>
      <c r="J2" s="101"/>
      <c r="K2" s="101"/>
      <c r="L2" s="101"/>
      <c r="M2" s="101"/>
      <c r="N2" s="102" t="s">
        <v>134</v>
      </c>
    </row>
    <row r="3" spans="1:14" ht="15.75" x14ac:dyDescent="0.25">
      <c r="A3" s="103"/>
      <c r="B3" s="104"/>
      <c r="C3" s="104"/>
      <c r="D3" s="104"/>
      <c r="E3" s="104"/>
      <c r="F3" s="104"/>
      <c r="G3" s="105"/>
      <c r="H3" s="105"/>
      <c r="I3" s="101"/>
      <c r="J3" s="101"/>
      <c r="K3" s="101"/>
      <c r="L3" s="101"/>
      <c r="M3" s="101"/>
      <c r="N3" s="106"/>
    </row>
    <row r="4" spans="1:14" ht="18.75" x14ac:dyDescent="0.25">
      <c r="A4" s="346" t="s">
        <v>166</v>
      </c>
      <c r="B4" s="346"/>
      <c r="C4" s="346"/>
      <c r="D4" s="346"/>
      <c r="E4" s="346"/>
      <c r="F4" s="346"/>
      <c r="G4" s="346"/>
      <c r="H4" s="346"/>
      <c r="I4" s="346"/>
      <c r="J4" s="346"/>
      <c r="K4" s="346"/>
      <c r="L4" s="346"/>
      <c r="M4" s="346"/>
      <c r="N4" s="346"/>
    </row>
    <row r="5" spans="1:14" ht="15.75" x14ac:dyDescent="0.25">
      <c r="A5" s="107"/>
      <c r="B5" s="108"/>
      <c r="C5" s="108"/>
      <c r="D5" s="108"/>
      <c r="E5" s="108"/>
      <c r="F5" s="109"/>
      <c r="G5" s="109"/>
      <c r="H5" s="109"/>
      <c r="I5" s="109"/>
      <c r="J5" s="109"/>
      <c r="K5" s="109"/>
      <c r="L5" s="109"/>
      <c r="M5" s="109"/>
      <c r="N5" s="110"/>
    </row>
    <row r="6" spans="1:14" ht="27" customHeight="1" x14ac:dyDescent="0.25">
      <c r="A6" s="359" t="s">
        <v>90</v>
      </c>
      <c r="B6" s="359" t="s">
        <v>135</v>
      </c>
      <c r="C6" s="360" t="s">
        <v>136</v>
      </c>
      <c r="D6" s="360" t="s">
        <v>137</v>
      </c>
      <c r="E6" s="360" t="s">
        <v>138</v>
      </c>
      <c r="F6" s="360" t="s">
        <v>139</v>
      </c>
      <c r="G6" s="361" t="s">
        <v>140</v>
      </c>
      <c r="H6" s="356"/>
      <c r="I6" s="356"/>
      <c r="J6" s="356"/>
      <c r="K6" s="360" t="s">
        <v>141</v>
      </c>
      <c r="L6" s="360" t="s">
        <v>142</v>
      </c>
      <c r="M6" s="360" t="s">
        <v>143</v>
      </c>
      <c r="N6" s="362" t="s">
        <v>144</v>
      </c>
    </row>
    <row r="7" spans="1:14" ht="29.45" customHeight="1" x14ac:dyDescent="0.25">
      <c r="A7" s="359"/>
      <c r="B7" s="359"/>
      <c r="C7" s="360"/>
      <c r="D7" s="360"/>
      <c r="E7" s="360"/>
      <c r="F7" s="360"/>
      <c r="G7" s="360" t="s">
        <v>145</v>
      </c>
      <c r="H7" s="360" t="s">
        <v>146</v>
      </c>
      <c r="I7" s="360" t="s">
        <v>147</v>
      </c>
      <c r="J7" s="360" t="s">
        <v>148</v>
      </c>
      <c r="K7" s="360"/>
      <c r="L7" s="360"/>
      <c r="M7" s="360"/>
      <c r="N7" s="362"/>
    </row>
    <row r="8" spans="1:14" ht="32.450000000000003" customHeight="1" x14ac:dyDescent="0.25">
      <c r="A8" s="359"/>
      <c r="B8" s="359"/>
      <c r="C8" s="360"/>
      <c r="D8" s="360"/>
      <c r="E8" s="360"/>
      <c r="F8" s="360"/>
      <c r="G8" s="360"/>
      <c r="H8" s="360"/>
      <c r="I8" s="360"/>
      <c r="J8" s="360"/>
      <c r="K8" s="360"/>
      <c r="L8" s="360"/>
      <c r="M8" s="360"/>
      <c r="N8" s="362"/>
    </row>
    <row r="9" spans="1:14" x14ac:dyDescent="0.25">
      <c r="A9" s="111" t="s">
        <v>33</v>
      </c>
      <c r="B9" s="111" t="s">
        <v>34</v>
      </c>
      <c r="C9" s="111">
        <v>1</v>
      </c>
      <c r="D9" s="111">
        <v>2</v>
      </c>
      <c r="E9" s="111">
        <v>3</v>
      </c>
      <c r="F9" s="111" t="s">
        <v>149</v>
      </c>
      <c r="G9" s="111">
        <v>5</v>
      </c>
      <c r="H9" s="112" t="s">
        <v>150</v>
      </c>
      <c r="I9" s="112" t="s">
        <v>185</v>
      </c>
      <c r="J9" s="112" t="s">
        <v>151</v>
      </c>
      <c r="K9" s="112">
        <v>9</v>
      </c>
      <c r="L9" s="112" t="s">
        <v>152</v>
      </c>
      <c r="M9" s="112">
        <v>11</v>
      </c>
      <c r="N9" s="112" t="s">
        <v>153</v>
      </c>
    </row>
    <row r="10" spans="1:14" ht="18.600000000000001" customHeight="1" x14ac:dyDescent="0.25">
      <c r="A10" s="116"/>
      <c r="B10" s="117" t="s">
        <v>154</v>
      </c>
      <c r="C10" s="124">
        <f t="shared" ref="C10:M10" si="0">SUM(C11:C47)</f>
        <v>161.50000000000003</v>
      </c>
      <c r="D10" s="124">
        <f t="shared" si="0"/>
        <v>0</v>
      </c>
      <c r="E10" s="124">
        <f t="shared" si="0"/>
        <v>1.4999999999999998</v>
      </c>
      <c r="F10" s="124">
        <f t="shared" si="0"/>
        <v>163.00000000000003</v>
      </c>
      <c r="G10" s="127">
        <f t="shared" si="0"/>
        <v>0.37000000000000016</v>
      </c>
      <c r="H10" s="124">
        <f t="shared" si="0"/>
        <v>1.6300000000000006</v>
      </c>
      <c r="I10" s="124">
        <f t="shared" si="0"/>
        <v>0.38305000000000011</v>
      </c>
      <c r="J10" s="124">
        <f t="shared" si="0"/>
        <v>2.0130500000000002</v>
      </c>
      <c r="K10" s="124">
        <f t="shared" si="0"/>
        <v>250</v>
      </c>
      <c r="L10" s="124">
        <f t="shared" si="0"/>
        <v>13.483235999999994</v>
      </c>
      <c r="M10" s="124">
        <f t="shared" si="0"/>
        <v>24.269824799999999</v>
      </c>
      <c r="N10" s="118"/>
    </row>
    <row r="11" spans="1:14" ht="18.600000000000001" customHeight="1" x14ac:dyDescent="0.25">
      <c r="A11" s="251">
        <v>1</v>
      </c>
      <c r="B11" s="252" t="s">
        <v>252</v>
      </c>
      <c r="C11" s="222">
        <v>3</v>
      </c>
      <c r="D11" s="179"/>
      <c r="E11" s="179">
        <v>0.15</v>
      </c>
      <c r="F11" s="120">
        <f>C11+D11+E11</f>
        <v>3.15</v>
      </c>
      <c r="G11" s="121">
        <v>0.01</v>
      </c>
      <c r="H11" s="120">
        <f>F11*G11</f>
        <v>3.15E-2</v>
      </c>
      <c r="I11" s="120">
        <f>H11*23.5%</f>
        <v>7.4024999999999994E-3</v>
      </c>
      <c r="J11" s="120">
        <f>H11+I11</f>
        <v>3.89025E-2</v>
      </c>
      <c r="K11" s="122">
        <v>12</v>
      </c>
      <c r="L11" s="123">
        <f>J11*K11</f>
        <v>0.46682999999999997</v>
      </c>
      <c r="M11" s="120">
        <f>L11*1.8</f>
        <v>0.84029399999999999</v>
      </c>
      <c r="N11" s="264" t="s">
        <v>268</v>
      </c>
    </row>
    <row r="12" spans="1:14" ht="18.600000000000001" customHeight="1" x14ac:dyDescent="0.25">
      <c r="A12" s="251">
        <v>2</v>
      </c>
      <c r="B12" s="252" t="s">
        <v>251</v>
      </c>
      <c r="C12" s="222">
        <v>4.34</v>
      </c>
      <c r="D12" s="179"/>
      <c r="E12" s="179">
        <v>0.15</v>
      </c>
      <c r="F12" s="120">
        <f t="shared" ref="F12:F47" si="1">C12+D12+E12</f>
        <v>4.49</v>
      </c>
      <c r="G12" s="121">
        <v>0.01</v>
      </c>
      <c r="H12" s="120">
        <f t="shared" ref="H12:H47" si="2">F12*G12</f>
        <v>4.4900000000000002E-2</v>
      </c>
      <c r="I12" s="120">
        <f t="shared" ref="I12:I47" si="3">H12*23.5%</f>
        <v>1.05515E-2</v>
      </c>
      <c r="J12" s="120">
        <f t="shared" ref="J12:J47" si="4">H12+I12</f>
        <v>5.5451500000000001E-2</v>
      </c>
      <c r="K12" s="122">
        <v>11</v>
      </c>
      <c r="L12" s="123">
        <f t="shared" ref="L12:L47" si="5">J12*K12</f>
        <v>0.60996649999999997</v>
      </c>
      <c r="M12" s="120">
        <f t="shared" ref="M12:M47" si="6">L12*1.8</f>
        <v>1.0979397</v>
      </c>
      <c r="N12" s="264" t="s">
        <v>269</v>
      </c>
    </row>
    <row r="13" spans="1:14" ht="18.600000000000001" customHeight="1" x14ac:dyDescent="0.25">
      <c r="A13" s="251">
        <v>3</v>
      </c>
      <c r="B13" s="253" t="s">
        <v>238</v>
      </c>
      <c r="C13" s="231">
        <v>4.68</v>
      </c>
      <c r="D13" s="125"/>
      <c r="E13" s="125"/>
      <c r="F13" s="120">
        <f t="shared" ref="F13" si="7">C13+D13+E13</f>
        <v>4.68</v>
      </c>
      <c r="G13" s="121">
        <v>0.01</v>
      </c>
      <c r="H13" s="120">
        <f t="shared" ref="H13" si="8">F13*G13</f>
        <v>4.6800000000000001E-2</v>
      </c>
      <c r="I13" s="120">
        <f t="shared" ref="I13" si="9">H13*23.5%</f>
        <v>1.0997999999999999E-2</v>
      </c>
      <c r="J13" s="120">
        <f t="shared" ref="J13" si="10">H13+I13</f>
        <v>5.7798000000000002E-2</v>
      </c>
      <c r="K13" s="122">
        <v>10</v>
      </c>
      <c r="L13" s="123">
        <f t="shared" si="5"/>
        <v>0.57798000000000005</v>
      </c>
      <c r="M13" s="120">
        <f t="shared" si="6"/>
        <v>1.0403640000000001</v>
      </c>
      <c r="N13" s="265" t="s">
        <v>270</v>
      </c>
    </row>
    <row r="14" spans="1:14" ht="18.600000000000001" customHeight="1" x14ac:dyDescent="0.25">
      <c r="A14" s="251">
        <v>4</v>
      </c>
      <c r="B14" s="253" t="s">
        <v>249</v>
      </c>
      <c r="C14" s="222">
        <v>4.34</v>
      </c>
      <c r="D14" s="125"/>
      <c r="E14" s="125"/>
      <c r="F14" s="120">
        <f t="shared" si="1"/>
        <v>4.34</v>
      </c>
      <c r="G14" s="121">
        <v>0.01</v>
      </c>
      <c r="H14" s="120">
        <f t="shared" si="2"/>
        <v>4.3400000000000001E-2</v>
      </c>
      <c r="I14" s="120">
        <f t="shared" si="3"/>
        <v>1.0199E-2</v>
      </c>
      <c r="J14" s="120">
        <f t="shared" si="4"/>
        <v>5.3599000000000001E-2</v>
      </c>
      <c r="K14" s="122">
        <v>10</v>
      </c>
      <c r="L14" s="123">
        <f t="shared" si="5"/>
        <v>0.53598999999999997</v>
      </c>
      <c r="M14" s="120">
        <f t="shared" si="6"/>
        <v>0.96478199999999992</v>
      </c>
      <c r="N14" s="265" t="s">
        <v>270</v>
      </c>
    </row>
    <row r="15" spans="1:14" ht="18.600000000000001" customHeight="1" x14ac:dyDescent="0.25">
      <c r="A15" s="251">
        <v>5</v>
      </c>
      <c r="B15" s="253" t="s">
        <v>236</v>
      </c>
      <c r="C15" s="231">
        <v>4.68</v>
      </c>
      <c r="D15" s="119"/>
      <c r="E15" s="119"/>
      <c r="F15" s="120">
        <f t="shared" si="1"/>
        <v>4.68</v>
      </c>
      <c r="G15" s="121">
        <v>0.01</v>
      </c>
      <c r="H15" s="120">
        <f t="shared" si="2"/>
        <v>4.6800000000000001E-2</v>
      </c>
      <c r="I15" s="120">
        <f t="shared" si="3"/>
        <v>1.0997999999999999E-2</v>
      </c>
      <c r="J15" s="120">
        <f t="shared" si="4"/>
        <v>5.7798000000000002E-2</v>
      </c>
      <c r="K15" s="126">
        <v>10</v>
      </c>
      <c r="L15" s="123">
        <f t="shared" si="5"/>
        <v>0.57798000000000005</v>
      </c>
      <c r="M15" s="120">
        <f t="shared" si="6"/>
        <v>1.0403640000000001</v>
      </c>
      <c r="N15" s="265" t="s">
        <v>270</v>
      </c>
    </row>
    <row r="16" spans="1:14" ht="18.600000000000001" customHeight="1" x14ac:dyDescent="0.25">
      <c r="A16" s="251">
        <v>6</v>
      </c>
      <c r="B16" s="253" t="s">
        <v>231</v>
      </c>
      <c r="C16" s="231">
        <v>5.0199999999999996</v>
      </c>
      <c r="D16" s="119"/>
      <c r="E16" s="119"/>
      <c r="F16" s="120">
        <f t="shared" si="1"/>
        <v>5.0199999999999996</v>
      </c>
      <c r="G16" s="121">
        <v>0.01</v>
      </c>
      <c r="H16" s="120">
        <f t="shared" si="2"/>
        <v>5.0199999999999995E-2</v>
      </c>
      <c r="I16" s="120">
        <f t="shared" si="3"/>
        <v>1.1796999999999998E-2</v>
      </c>
      <c r="J16" s="120">
        <f t="shared" si="4"/>
        <v>6.1996999999999997E-2</v>
      </c>
      <c r="K16" s="126">
        <v>10</v>
      </c>
      <c r="L16" s="123">
        <f t="shared" si="5"/>
        <v>0.61996999999999991</v>
      </c>
      <c r="M16" s="120">
        <f t="shared" si="6"/>
        <v>1.1159459999999999</v>
      </c>
      <c r="N16" s="265" t="s">
        <v>270</v>
      </c>
    </row>
    <row r="17" spans="1:14" ht="18.600000000000001" customHeight="1" x14ac:dyDescent="0.25">
      <c r="A17" s="251">
        <v>7</v>
      </c>
      <c r="B17" s="253" t="s">
        <v>234</v>
      </c>
      <c r="C17" s="231">
        <v>4.8899999999999997</v>
      </c>
      <c r="D17" s="119"/>
      <c r="E17" s="119"/>
      <c r="F17" s="120">
        <f t="shared" si="1"/>
        <v>4.8899999999999997</v>
      </c>
      <c r="G17" s="121">
        <v>0.01</v>
      </c>
      <c r="H17" s="120">
        <f t="shared" si="2"/>
        <v>4.8899999999999999E-2</v>
      </c>
      <c r="I17" s="120">
        <f t="shared" si="3"/>
        <v>1.14915E-2</v>
      </c>
      <c r="J17" s="120">
        <f t="shared" si="4"/>
        <v>6.0391500000000001E-2</v>
      </c>
      <c r="K17" s="126">
        <v>9</v>
      </c>
      <c r="L17" s="123">
        <f t="shared" si="5"/>
        <v>0.54352350000000005</v>
      </c>
      <c r="M17" s="120">
        <f t="shared" si="6"/>
        <v>0.97834230000000011</v>
      </c>
      <c r="N17" s="265" t="s">
        <v>271</v>
      </c>
    </row>
    <row r="18" spans="1:14" ht="18.600000000000001" customHeight="1" x14ac:dyDescent="0.25">
      <c r="A18" s="251">
        <v>8</v>
      </c>
      <c r="B18" s="253" t="s">
        <v>230</v>
      </c>
      <c r="C18" s="231">
        <v>5.0199999999999996</v>
      </c>
      <c r="D18" s="119"/>
      <c r="E18" s="119"/>
      <c r="F18" s="120">
        <f t="shared" si="1"/>
        <v>5.0199999999999996</v>
      </c>
      <c r="G18" s="121">
        <v>0.01</v>
      </c>
      <c r="H18" s="120">
        <f t="shared" si="2"/>
        <v>5.0199999999999995E-2</v>
      </c>
      <c r="I18" s="120">
        <f t="shared" si="3"/>
        <v>1.1796999999999998E-2</v>
      </c>
      <c r="J18" s="120">
        <f t="shared" si="4"/>
        <v>6.1996999999999997E-2</v>
      </c>
      <c r="K18" s="126">
        <v>9</v>
      </c>
      <c r="L18" s="123">
        <f t="shared" si="5"/>
        <v>0.55797299999999994</v>
      </c>
      <c r="M18" s="120">
        <f t="shared" si="6"/>
        <v>1.0043514</v>
      </c>
      <c r="N18" s="265" t="s">
        <v>271</v>
      </c>
    </row>
    <row r="19" spans="1:14" ht="18.600000000000001" customHeight="1" x14ac:dyDescent="0.25">
      <c r="A19" s="251">
        <v>9</v>
      </c>
      <c r="B19" s="253" t="s">
        <v>227</v>
      </c>
      <c r="C19" s="231">
        <v>4.68</v>
      </c>
      <c r="D19" s="119"/>
      <c r="E19" s="119">
        <v>0.2</v>
      </c>
      <c r="F19" s="120">
        <f t="shared" si="1"/>
        <v>4.88</v>
      </c>
      <c r="G19" s="121">
        <v>0.01</v>
      </c>
      <c r="H19" s="120">
        <f t="shared" si="2"/>
        <v>4.8800000000000003E-2</v>
      </c>
      <c r="I19" s="120">
        <f t="shared" si="3"/>
        <v>1.1468000000000001E-2</v>
      </c>
      <c r="J19" s="120">
        <f t="shared" si="4"/>
        <v>6.0268000000000002E-2</v>
      </c>
      <c r="K19" s="126">
        <v>9</v>
      </c>
      <c r="L19" s="123">
        <f t="shared" si="5"/>
        <v>0.54241200000000001</v>
      </c>
      <c r="M19" s="120">
        <f t="shared" si="6"/>
        <v>0.97634160000000003</v>
      </c>
      <c r="N19" s="265" t="s">
        <v>271</v>
      </c>
    </row>
    <row r="20" spans="1:14" ht="18.600000000000001" customHeight="1" x14ac:dyDescent="0.25">
      <c r="A20" s="251">
        <v>10</v>
      </c>
      <c r="B20" s="253" t="s">
        <v>246</v>
      </c>
      <c r="C20" s="222">
        <v>4.34</v>
      </c>
      <c r="D20" s="119"/>
      <c r="E20" s="119"/>
      <c r="F20" s="120">
        <f t="shared" si="1"/>
        <v>4.34</v>
      </c>
      <c r="G20" s="121">
        <v>0.01</v>
      </c>
      <c r="H20" s="120">
        <f t="shared" si="2"/>
        <v>4.3400000000000001E-2</v>
      </c>
      <c r="I20" s="120">
        <f t="shared" si="3"/>
        <v>1.0199E-2</v>
      </c>
      <c r="J20" s="120">
        <f t="shared" si="4"/>
        <v>5.3599000000000001E-2</v>
      </c>
      <c r="K20" s="126">
        <v>9</v>
      </c>
      <c r="L20" s="123">
        <f t="shared" si="5"/>
        <v>0.48239100000000001</v>
      </c>
      <c r="M20" s="120">
        <f t="shared" si="6"/>
        <v>0.86830380000000007</v>
      </c>
      <c r="N20" s="265" t="s">
        <v>271</v>
      </c>
    </row>
    <row r="21" spans="1:14" ht="18.600000000000001" customHeight="1" x14ac:dyDescent="0.25">
      <c r="A21" s="251">
        <v>11</v>
      </c>
      <c r="B21" s="253" t="s">
        <v>248</v>
      </c>
      <c r="C21" s="231">
        <v>4.58</v>
      </c>
      <c r="D21" s="119"/>
      <c r="E21" s="119"/>
      <c r="F21" s="120">
        <f t="shared" si="1"/>
        <v>4.58</v>
      </c>
      <c r="G21" s="121">
        <v>0.01</v>
      </c>
      <c r="H21" s="120">
        <f t="shared" si="2"/>
        <v>4.58E-2</v>
      </c>
      <c r="I21" s="120">
        <f t="shared" si="3"/>
        <v>1.0763E-2</v>
      </c>
      <c r="J21" s="120">
        <f t="shared" si="4"/>
        <v>5.6563000000000002E-2</v>
      </c>
      <c r="K21" s="126">
        <v>9</v>
      </c>
      <c r="L21" s="123">
        <f t="shared" si="5"/>
        <v>0.50906700000000005</v>
      </c>
      <c r="M21" s="120">
        <f t="shared" si="6"/>
        <v>0.91632060000000015</v>
      </c>
      <c r="N21" s="265" t="s">
        <v>271</v>
      </c>
    </row>
    <row r="22" spans="1:14" ht="18.600000000000001" customHeight="1" x14ac:dyDescent="0.25">
      <c r="A22" s="251">
        <v>12</v>
      </c>
      <c r="B22" s="253" t="s">
        <v>219</v>
      </c>
      <c r="C22" s="222">
        <v>4.34</v>
      </c>
      <c r="D22" s="119"/>
      <c r="E22" s="119">
        <v>0.45</v>
      </c>
      <c r="F22" s="120">
        <f t="shared" si="1"/>
        <v>4.79</v>
      </c>
      <c r="G22" s="121">
        <v>0.01</v>
      </c>
      <c r="H22" s="120">
        <f t="shared" si="2"/>
        <v>4.7899999999999998E-2</v>
      </c>
      <c r="I22" s="120">
        <f t="shared" si="3"/>
        <v>1.1256499999999999E-2</v>
      </c>
      <c r="J22" s="120">
        <f t="shared" si="4"/>
        <v>5.9156500000000001E-2</v>
      </c>
      <c r="K22" s="126">
        <v>8</v>
      </c>
      <c r="L22" s="123">
        <f t="shared" si="5"/>
        <v>0.47325200000000001</v>
      </c>
      <c r="M22" s="120">
        <f t="shared" si="6"/>
        <v>0.85185359999999999</v>
      </c>
      <c r="N22" s="266" t="s">
        <v>272</v>
      </c>
    </row>
    <row r="23" spans="1:14" ht="18.600000000000001" customHeight="1" x14ac:dyDescent="0.25">
      <c r="A23" s="251">
        <v>13</v>
      </c>
      <c r="B23" s="253" t="s">
        <v>221</v>
      </c>
      <c r="C23" s="231">
        <v>4.6500000000000004</v>
      </c>
      <c r="D23" s="119"/>
      <c r="E23" s="119">
        <v>0.35</v>
      </c>
      <c r="F23" s="120">
        <f t="shared" si="1"/>
        <v>5</v>
      </c>
      <c r="G23" s="121">
        <v>0.01</v>
      </c>
      <c r="H23" s="120">
        <f t="shared" si="2"/>
        <v>0.05</v>
      </c>
      <c r="I23" s="120">
        <f t="shared" si="3"/>
        <v>1.175E-2</v>
      </c>
      <c r="J23" s="120">
        <f t="shared" si="4"/>
        <v>6.1749999999999999E-2</v>
      </c>
      <c r="K23" s="126">
        <v>8</v>
      </c>
      <c r="L23" s="123">
        <f t="shared" si="5"/>
        <v>0.49399999999999999</v>
      </c>
      <c r="M23" s="120">
        <f t="shared" si="6"/>
        <v>0.88919999999999999</v>
      </c>
      <c r="N23" s="265" t="s">
        <v>272</v>
      </c>
    </row>
    <row r="24" spans="1:14" ht="18.600000000000001" customHeight="1" x14ac:dyDescent="0.25">
      <c r="A24" s="251">
        <v>14</v>
      </c>
      <c r="B24" s="253" t="s">
        <v>239</v>
      </c>
      <c r="C24" s="222">
        <v>4.34</v>
      </c>
      <c r="D24" s="119"/>
      <c r="E24" s="119"/>
      <c r="F24" s="120">
        <f t="shared" si="1"/>
        <v>4.34</v>
      </c>
      <c r="G24" s="121">
        <v>0.01</v>
      </c>
      <c r="H24" s="120">
        <f t="shared" si="2"/>
        <v>4.3400000000000001E-2</v>
      </c>
      <c r="I24" s="120">
        <f t="shared" si="3"/>
        <v>1.0199E-2</v>
      </c>
      <c r="J24" s="120">
        <f t="shared" si="4"/>
        <v>5.3599000000000001E-2</v>
      </c>
      <c r="K24" s="126">
        <v>8</v>
      </c>
      <c r="L24" s="123">
        <f t="shared" si="5"/>
        <v>0.42879200000000001</v>
      </c>
      <c r="M24" s="120">
        <f t="shared" si="6"/>
        <v>0.7718256</v>
      </c>
      <c r="N24" s="265" t="s">
        <v>272</v>
      </c>
    </row>
    <row r="25" spans="1:14" ht="18.600000000000001" customHeight="1" x14ac:dyDescent="0.25">
      <c r="A25" s="251">
        <v>15</v>
      </c>
      <c r="B25" s="253" t="s">
        <v>240</v>
      </c>
      <c r="C25" s="222">
        <v>4.34</v>
      </c>
      <c r="D25" s="119"/>
      <c r="E25" s="119"/>
      <c r="F25" s="120">
        <f t="shared" si="1"/>
        <v>4.34</v>
      </c>
      <c r="G25" s="121">
        <v>0.01</v>
      </c>
      <c r="H25" s="120">
        <f t="shared" si="2"/>
        <v>4.3400000000000001E-2</v>
      </c>
      <c r="I25" s="120">
        <f t="shared" si="3"/>
        <v>1.0199E-2</v>
      </c>
      <c r="J25" s="120">
        <f t="shared" si="4"/>
        <v>5.3599000000000001E-2</v>
      </c>
      <c r="K25" s="126">
        <v>8</v>
      </c>
      <c r="L25" s="123">
        <f t="shared" si="5"/>
        <v>0.42879200000000001</v>
      </c>
      <c r="M25" s="120">
        <f t="shared" si="6"/>
        <v>0.7718256</v>
      </c>
      <c r="N25" s="265" t="s">
        <v>272</v>
      </c>
    </row>
    <row r="26" spans="1:14" ht="18.600000000000001" customHeight="1" x14ac:dyDescent="0.25">
      <c r="A26" s="251">
        <v>16</v>
      </c>
      <c r="B26" s="253" t="s">
        <v>241</v>
      </c>
      <c r="C26" s="222">
        <v>4.34</v>
      </c>
      <c r="D26" s="119"/>
      <c r="E26" s="119"/>
      <c r="F26" s="120">
        <f t="shared" si="1"/>
        <v>4.34</v>
      </c>
      <c r="G26" s="121">
        <v>0.01</v>
      </c>
      <c r="H26" s="120">
        <f t="shared" si="2"/>
        <v>4.3400000000000001E-2</v>
      </c>
      <c r="I26" s="120">
        <f t="shared" si="3"/>
        <v>1.0199E-2</v>
      </c>
      <c r="J26" s="120">
        <f t="shared" si="4"/>
        <v>5.3599000000000001E-2</v>
      </c>
      <c r="K26" s="126">
        <v>8</v>
      </c>
      <c r="L26" s="123">
        <f t="shared" si="5"/>
        <v>0.42879200000000001</v>
      </c>
      <c r="M26" s="120">
        <f t="shared" si="6"/>
        <v>0.7718256</v>
      </c>
      <c r="N26" s="265" t="s">
        <v>272</v>
      </c>
    </row>
    <row r="27" spans="1:14" ht="18.600000000000001" customHeight="1" x14ac:dyDescent="0.25">
      <c r="A27" s="251">
        <v>17</v>
      </c>
      <c r="B27" s="253" t="s">
        <v>257</v>
      </c>
      <c r="C27" s="222">
        <v>4.34</v>
      </c>
      <c r="D27" s="119"/>
      <c r="E27" s="119">
        <v>0.2</v>
      </c>
      <c r="F27" s="120">
        <f t="shared" si="1"/>
        <v>4.54</v>
      </c>
      <c r="G27" s="121">
        <v>0.01</v>
      </c>
      <c r="H27" s="120">
        <f t="shared" si="2"/>
        <v>4.5400000000000003E-2</v>
      </c>
      <c r="I27" s="120">
        <f t="shared" si="3"/>
        <v>1.0669E-2</v>
      </c>
      <c r="J27" s="120">
        <f t="shared" si="4"/>
        <v>5.6069000000000001E-2</v>
      </c>
      <c r="K27" s="126">
        <v>8</v>
      </c>
      <c r="L27" s="123">
        <f t="shared" si="5"/>
        <v>0.44855200000000001</v>
      </c>
      <c r="M27" s="120">
        <f t="shared" si="6"/>
        <v>0.80739360000000004</v>
      </c>
      <c r="N27" s="265" t="s">
        <v>272</v>
      </c>
    </row>
    <row r="28" spans="1:14" ht="18.600000000000001" customHeight="1" x14ac:dyDescent="0.25">
      <c r="A28" s="251">
        <v>18</v>
      </c>
      <c r="B28" s="252" t="s">
        <v>255</v>
      </c>
      <c r="C28" s="222">
        <v>2.34</v>
      </c>
      <c r="D28" s="119"/>
      <c r="E28" s="119"/>
      <c r="F28" s="120">
        <f t="shared" si="1"/>
        <v>2.34</v>
      </c>
      <c r="G28" s="121">
        <v>0.01</v>
      </c>
      <c r="H28" s="120">
        <f t="shared" ref="H28" si="11">F28*G28</f>
        <v>2.3400000000000001E-2</v>
      </c>
      <c r="I28" s="120">
        <f t="shared" ref="I28" si="12">H28*23.5%</f>
        <v>5.4989999999999995E-3</v>
      </c>
      <c r="J28" s="120">
        <f t="shared" ref="J28" si="13">H28+I28</f>
        <v>2.8899000000000001E-2</v>
      </c>
      <c r="K28" s="126">
        <v>8</v>
      </c>
      <c r="L28" s="123">
        <f t="shared" ref="L28" si="14">J28*K28</f>
        <v>0.23119200000000001</v>
      </c>
      <c r="M28" s="120">
        <f t="shared" si="6"/>
        <v>0.4161456</v>
      </c>
      <c r="N28" s="264" t="s">
        <v>272</v>
      </c>
    </row>
    <row r="29" spans="1:14" ht="18.600000000000001" customHeight="1" x14ac:dyDescent="0.25">
      <c r="A29" s="251">
        <v>19</v>
      </c>
      <c r="B29" s="252" t="s">
        <v>250</v>
      </c>
      <c r="C29" s="222">
        <v>3.33</v>
      </c>
      <c r="D29" s="119"/>
      <c r="E29" s="119"/>
      <c r="F29" s="120">
        <f t="shared" si="1"/>
        <v>3.33</v>
      </c>
      <c r="G29" s="121">
        <v>0.01</v>
      </c>
      <c r="H29" s="120">
        <f t="shared" si="2"/>
        <v>3.3300000000000003E-2</v>
      </c>
      <c r="I29" s="120">
        <f t="shared" si="3"/>
        <v>7.8255000000000009E-3</v>
      </c>
      <c r="J29" s="120">
        <f t="shared" si="4"/>
        <v>4.1125500000000002E-2</v>
      </c>
      <c r="K29" s="126">
        <v>8</v>
      </c>
      <c r="L29" s="123">
        <f t="shared" si="5"/>
        <v>0.32900400000000002</v>
      </c>
      <c r="M29" s="120">
        <f t="shared" si="6"/>
        <v>0.59220720000000004</v>
      </c>
      <c r="N29" s="264" t="s">
        <v>272</v>
      </c>
    </row>
    <row r="30" spans="1:14" ht="18.600000000000001" customHeight="1" x14ac:dyDescent="0.25">
      <c r="A30" s="251">
        <v>20</v>
      </c>
      <c r="B30" s="252" t="s">
        <v>254</v>
      </c>
      <c r="C30" s="222">
        <v>2.34</v>
      </c>
      <c r="D30" s="119"/>
      <c r="E30" s="119"/>
      <c r="F30" s="120">
        <f t="shared" si="1"/>
        <v>2.34</v>
      </c>
      <c r="G30" s="121">
        <v>0.01</v>
      </c>
      <c r="H30" s="120">
        <f t="shared" si="2"/>
        <v>2.3400000000000001E-2</v>
      </c>
      <c r="I30" s="120">
        <f t="shared" si="3"/>
        <v>5.4989999999999995E-3</v>
      </c>
      <c r="J30" s="120">
        <f t="shared" si="4"/>
        <v>2.8899000000000001E-2</v>
      </c>
      <c r="K30" s="126">
        <v>7</v>
      </c>
      <c r="L30" s="123">
        <f t="shared" si="5"/>
        <v>0.202293</v>
      </c>
      <c r="M30" s="120">
        <f t="shared" si="6"/>
        <v>0.36412739999999999</v>
      </c>
      <c r="N30" s="264" t="s">
        <v>273</v>
      </c>
    </row>
    <row r="31" spans="1:14" ht="18.600000000000001" customHeight="1" x14ac:dyDescent="0.25">
      <c r="A31" s="251">
        <v>21</v>
      </c>
      <c r="B31" s="253" t="s">
        <v>228</v>
      </c>
      <c r="C31" s="231">
        <v>4.68</v>
      </c>
      <c r="D31" s="119"/>
      <c r="E31" s="119"/>
      <c r="F31" s="120">
        <f t="shared" si="1"/>
        <v>4.68</v>
      </c>
      <c r="G31" s="121">
        <v>0.01</v>
      </c>
      <c r="H31" s="120">
        <f t="shared" si="2"/>
        <v>4.6800000000000001E-2</v>
      </c>
      <c r="I31" s="120">
        <f t="shared" si="3"/>
        <v>1.0997999999999999E-2</v>
      </c>
      <c r="J31" s="120">
        <f t="shared" si="4"/>
        <v>5.7798000000000002E-2</v>
      </c>
      <c r="K31" s="126">
        <v>7</v>
      </c>
      <c r="L31" s="123">
        <f t="shared" si="5"/>
        <v>0.404586</v>
      </c>
      <c r="M31" s="120">
        <f t="shared" si="6"/>
        <v>0.72825479999999998</v>
      </c>
      <c r="N31" s="265" t="s">
        <v>273</v>
      </c>
    </row>
    <row r="32" spans="1:14" ht="18.600000000000001" customHeight="1" x14ac:dyDescent="0.25">
      <c r="A32" s="251">
        <v>22</v>
      </c>
      <c r="B32" s="253" t="s">
        <v>220</v>
      </c>
      <c r="C32" s="231">
        <v>4.68</v>
      </c>
      <c r="D32" s="119"/>
      <c r="E32" s="119"/>
      <c r="F32" s="120">
        <f t="shared" si="1"/>
        <v>4.68</v>
      </c>
      <c r="G32" s="121">
        <v>0.01</v>
      </c>
      <c r="H32" s="120">
        <f t="shared" si="2"/>
        <v>4.6800000000000001E-2</v>
      </c>
      <c r="I32" s="120">
        <f t="shared" si="3"/>
        <v>1.0997999999999999E-2</v>
      </c>
      <c r="J32" s="120">
        <f t="shared" si="4"/>
        <v>5.7798000000000002E-2</v>
      </c>
      <c r="K32" s="126">
        <v>7</v>
      </c>
      <c r="L32" s="123">
        <f t="shared" si="5"/>
        <v>0.404586</v>
      </c>
      <c r="M32" s="120">
        <f t="shared" si="6"/>
        <v>0.72825479999999998</v>
      </c>
      <c r="N32" s="265" t="s">
        <v>273</v>
      </c>
    </row>
    <row r="33" spans="1:14" ht="18.600000000000001" customHeight="1" x14ac:dyDescent="0.25">
      <c r="A33" s="251">
        <v>23</v>
      </c>
      <c r="B33" s="253" t="s">
        <v>235</v>
      </c>
      <c r="C33" s="231">
        <v>4.8899999999999997</v>
      </c>
      <c r="D33" s="119"/>
      <c r="E33" s="119"/>
      <c r="F33" s="120">
        <f t="shared" si="1"/>
        <v>4.8899999999999997</v>
      </c>
      <c r="G33" s="121">
        <v>0.01</v>
      </c>
      <c r="H33" s="120">
        <f t="shared" si="2"/>
        <v>4.8899999999999999E-2</v>
      </c>
      <c r="I33" s="120">
        <f t="shared" si="3"/>
        <v>1.14915E-2</v>
      </c>
      <c r="J33" s="120">
        <f t="shared" si="4"/>
        <v>6.0391500000000001E-2</v>
      </c>
      <c r="K33" s="126">
        <v>6</v>
      </c>
      <c r="L33" s="123">
        <f t="shared" si="5"/>
        <v>0.36234900000000003</v>
      </c>
      <c r="M33" s="120">
        <f t="shared" si="6"/>
        <v>0.65222820000000004</v>
      </c>
      <c r="N33" s="265" t="s">
        <v>274</v>
      </c>
    </row>
    <row r="34" spans="1:14" ht="18.600000000000001" customHeight="1" x14ac:dyDescent="0.25">
      <c r="A34" s="251">
        <v>24</v>
      </c>
      <c r="B34" s="253" t="s">
        <v>244</v>
      </c>
      <c r="C34" s="231">
        <v>3.66</v>
      </c>
      <c r="D34" s="119"/>
      <c r="E34" s="119"/>
      <c r="F34" s="120">
        <f t="shared" si="1"/>
        <v>3.66</v>
      </c>
      <c r="G34" s="121">
        <v>0.01</v>
      </c>
      <c r="H34" s="120">
        <f t="shared" si="2"/>
        <v>3.6600000000000001E-2</v>
      </c>
      <c r="I34" s="120">
        <f t="shared" si="3"/>
        <v>8.6009999999999993E-3</v>
      </c>
      <c r="J34" s="120">
        <f t="shared" si="4"/>
        <v>4.5200999999999998E-2</v>
      </c>
      <c r="K34" s="126">
        <v>5</v>
      </c>
      <c r="L34" s="123">
        <f t="shared" si="5"/>
        <v>0.22600499999999998</v>
      </c>
      <c r="M34" s="120">
        <f t="shared" si="6"/>
        <v>0.40680899999999998</v>
      </c>
      <c r="N34" s="265" t="s">
        <v>275</v>
      </c>
    </row>
    <row r="35" spans="1:14" ht="18.600000000000001" customHeight="1" x14ac:dyDescent="0.25">
      <c r="A35" s="251">
        <v>25</v>
      </c>
      <c r="B35" s="253" t="s">
        <v>245</v>
      </c>
      <c r="C35" s="222">
        <v>4.34</v>
      </c>
      <c r="D35" s="119"/>
      <c r="E35" s="119"/>
      <c r="F35" s="120">
        <f t="shared" si="1"/>
        <v>4.34</v>
      </c>
      <c r="G35" s="121">
        <v>0.01</v>
      </c>
      <c r="H35" s="120">
        <f t="shared" si="2"/>
        <v>4.3400000000000001E-2</v>
      </c>
      <c r="I35" s="120">
        <f t="shared" si="3"/>
        <v>1.0199E-2</v>
      </c>
      <c r="J35" s="120">
        <f t="shared" si="4"/>
        <v>5.3599000000000001E-2</v>
      </c>
      <c r="K35" s="126">
        <v>5</v>
      </c>
      <c r="L35" s="123">
        <f t="shared" si="5"/>
        <v>0.26799499999999998</v>
      </c>
      <c r="M35" s="120">
        <f t="shared" si="6"/>
        <v>0.48239099999999996</v>
      </c>
      <c r="N35" s="265" t="s">
        <v>275</v>
      </c>
    </row>
    <row r="36" spans="1:14" ht="18.600000000000001" customHeight="1" x14ac:dyDescent="0.25">
      <c r="A36" s="251">
        <v>26</v>
      </c>
      <c r="B36" s="253" t="s">
        <v>223</v>
      </c>
      <c r="C36" s="231">
        <v>5.0199999999999996</v>
      </c>
      <c r="D36" s="119"/>
      <c r="E36" s="119"/>
      <c r="F36" s="120">
        <f t="shared" si="1"/>
        <v>5.0199999999999996</v>
      </c>
      <c r="G36" s="121">
        <v>0.01</v>
      </c>
      <c r="H36" s="120">
        <f t="shared" si="2"/>
        <v>5.0199999999999995E-2</v>
      </c>
      <c r="I36" s="120">
        <f t="shared" si="3"/>
        <v>1.1796999999999998E-2</v>
      </c>
      <c r="J36" s="120">
        <f t="shared" si="4"/>
        <v>6.1996999999999997E-2</v>
      </c>
      <c r="K36" s="126">
        <v>5</v>
      </c>
      <c r="L36" s="123">
        <f t="shared" si="5"/>
        <v>0.30998499999999996</v>
      </c>
      <c r="M36" s="120">
        <f t="shared" si="6"/>
        <v>0.55797299999999994</v>
      </c>
      <c r="N36" s="265" t="s">
        <v>275</v>
      </c>
    </row>
    <row r="37" spans="1:14" ht="18.600000000000001" customHeight="1" x14ac:dyDescent="0.25">
      <c r="A37" s="251">
        <v>27</v>
      </c>
      <c r="B37" s="253" t="s">
        <v>247</v>
      </c>
      <c r="C37" s="231">
        <v>5.0199999999999996</v>
      </c>
      <c r="D37" s="119"/>
      <c r="E37" s="119"/>
      <c r="F37" s="120">
        <f t="shared" si="1"/>
        <v>5.0199999999999996</v>
      </c>
      <c r="G37" s="121">
        <v>0.01</v>
      </c>
      <c r="H37" s="120">
        <f t="shared" si="2"/>
        <v>5.0199999999999995E-2</v>
      </c>
      <c r="I37" s="120">
        <f t="shared" si="3"/>
        <v>1.1796999999999998E-2</v>
      </c>
      <c r="J37" s="120">
        <f t="shared" si="4"/>
        <v>6.1996999999999997E-2</v>
      </c>
      <c r="K37" s="126">
        <v>4</v>
      </c>
      <c r="L37" s="123">
        <f t="shared" si="5"/>
        <v>0.24798799999999999</v>
      </c>
      <c r="M37" s="120">
        <f t="shared" si="6"/>
        <v>0.44637840000000001</v>
      </c>
      <c r="N37" s="265" t="s">
        <v>276</v>
      </c>
    </row>
    <row r="38" spans="1:14" ht="18.600000000000001" customHeight="1" x14ac:dyDescent="0.25">
      <c r="A38" s="251">
        <v>28</v>
      </c>
      <c r="B38" s="252" t="s">
        <v>253</v>
      </c>
      <c r="C38" s="222">
        <v>3</v>
      </c>
      <c r="D38" s="119"/>
      <c r="E38" s="119"/>
      <c r="F38" s="120">
        <f t="shared" si="1"/>
        <v>3</v>
      </c>
      <c r="G38" s="121">
        <v>0.01</v>
      </c>
      <c r="H38" s="120">
        <f t="shared" si="2"/>
        <v>0.03</v>
      </c>
      <c r="I38" s="120">
        <f t="shared" si="3"/>
        <v>7.049999999999999E-3</v>
      </c>
      <c r="J38" s="120">
        <f t="shared" si="4"/>
        <v>3.705E-2</v>
      </c>
      <c r="K38" s="126">
        <v>4</v>
      </c>
      <c r="L38" s="123">
        <f t="shared" si="5"/>
        <v>0.1482</v>
      </c>
      <c r="M38" s="120">
        <f t="shared" si="6"/>
        <v>0.26676</v>
      </c>
      <c r="N38" s="264" t="s">
        <v>276</v>
      </c>
    </row>
    <row r="39" spans="1:14" ht="18.600000000000001" customHeight="1" x14ac:dyDescent="0.25">
      <c r="A39" s="251">
        <v>29</v>
      </c>
      <c r="B39" s="253" t="s">
        <v>232</v>
      </c>
      <c r="C39" s="231">
        <v>5.0199999999999996</v>
      </c>
      <c r="D39" s="119"/>
      <c r="E39" s="119"/>
      <c r="F39" s="120">
        <f t="shared" si="1"/>
        <v>5.0199999999999996</v>
      </c>
      <c r="G39" s="121">
        <v>0.01</v>
      </c>
      <c r="H39" s="120">
        <f t="shared" si="2"/>
        <v>5.0199999999999995E-2</v>
      </c>
      <c r="I39" s="120">
        <f t="shared" si="3"/>
        <v>1.1796999999999998E-2</v>
      </c>
      <c r="J39" s="120">
        <f t="shared" si="4"/>
        <v>6.1996999999999997E-2</v>
      </c>
      <c r="K39" s="126">
        <v>4</v>
      </c>
      <c r="L39" s="123">
        <f t="shared" si="5"/>
        <v>0.24798799999999999</v>
      </c>
      <c r="M39" s="120">
        <f t="shared" si="6"/>
        <v>0.44637840000000001</v>
      </c>
      <c r="N39" s="265" t="s">
        <v>276</v>
      </c>
    </row>
    <row r="40" spans="1:14" ht="18.600000000000001" customHeight="1" x14ac:dyDescent="0.25">
      <c r="A40" s="251">
        <v>30</v>
      </c>
      <c r="B40" s="253" t="s">
        <v>229</v>
      </c>
      <c r="C40" s="231">
        <v>4.8899999999999997</v>
      </c>
      <c r="D40" s="119"/>
      <c r="E40" s="119"/>
      <c r="F40" s="120">
        <f t="shared" si="1"/>
        <v>4.8899999999999997</v>
      </c>
      <c r="G40" s="121">
        <v>0.01</v>
      </c>
      <c r="H40" s="120">
        <f t="shared" si="2"/>
        <v>4.8899999999999999E-2</v>
      </c>
      <c r="I40" s="120">
        <f t="shared" si="3"/>
        <v>1.14915E-2</v>
      </c>
      <c r="J40" s="120">
        <f t="shared" si="4"/>
        <v>6.0391500000000001E-2</v>
      </c>
      <c r="K40" s="126">
        <v>4</v>
      </c>
      <c r="L40" s="123">
        <f t="shared" si="5"/>
        <v>0.241566</v>
      </c>
      <c r="M40" s="120">
        <f t="shared" si="6"/>
        <v>0.43481880000000001</v>
      </c>
      <c r="N40" s="265" t="s">
        <v>276</v>
      </c>
    </row>
    <row r="41" spans="1:14" ht="18.600000000000001" customHeight="1" x14ac:dyDescent="0.25">
      <c r="A41" s="251">
        <v>31</v>
      </c>
      <c r="B41" s="253" t="s">
        <v>225</v>
      </c>
      <c r="C41" s="231">
        <v>5.0199999999999996</v>
      </c>
      <c r="D41" s="119"/>
      <c r="E41" s="119"/>
      <c r="F41" s="120">
        <f t="shared" si="1"/>
        <v>5.0199999999999996</v>
      </c>
      <c r="G41" s="121">
        <v>0.01</v>
      </c>
      <c r="H41" s="120">
        <f t="shared" si="2"/>
        <v>5.0199999999999995E-2</v>
      </c>
      <c r="I41" s="120">
        <f t="shared" si="3"/>
        <v>1.1796999999999998E-2</v>
      </c>
      <c r="J41" s="120">
        <f t="shared" si="4"/>
        <v>6.1996999999999997E-2</v>
      </c>
      <c r="K41" s="126">
        <v>4</v>
      </c>
      <c r="L41" s="123">
        <f t="shared" si="5"/>
        <v>0.24798799999999999</v>
      </c>
      <c r="M41" s="120">
        <f t="shared" si="6"/>
        <v>0.44637840000000001</v>
      </c>
      <c r="N41" s="265" t="s">
        <v>276</v>
      </c>
    </row>
    <row r="42" spans="1:14" ht="18.600000000000001" customHeight="1" x14ac:dyDescent="0.25">
      <c r="A42" s="251">
        <v>32</v>
      </c>
      <c r="B42" s="253" t="s">
        <v>226</v>
      </c>
      <c r="C42" s="222">
        <v>4.34</v>
      </c>
      <c r="D42" s="119"/>
      <c r="E42" s="119"/>
      <c r="F42" s="120">
        <f t="shared" si="1"/>
        <v>4.34</v>
      </c>
      <c r="G42" s="121">
        <v>0.01</v>
      </c>
      <c r="H42" s="120">
        <f t="shared" si="2"/>
        <v>4.3400000000000001E-2</v>
      </c>
      <c r="I42" s="120">
        <f t="shared" si="3"/>
        <v>1.0199E-2</v>
      </c>
      <c r="J42" s="120">
        <f t="shared" si="4"/>
        <v>5.3599000000000001E-2</v>
      </c>
      <c r="K42" s="126">
        <v>4</v>
      </c>
      <c r="L42" s="123">
        <f t="shared" si="5"/>
        <v>0.214396</v>
      </c>
      <c r="M42" s="120">
        <f t="shared" si="6"/>
        <v>0.3859128</v>
      </c>
      <c r="N42" s="265" t="s">
        <v>276</v>
      </c>
    </row>
    <row r="43" spans="1:14" ht="18.600000000000001" customHeight="1" x14ac:dyDescent="0.25">
      <c r="A43" s="251">
        <v>33</v>
      </c>
      <c r="B43" s="253" t="s">
        <v>242</v>
      </c>
      <c r="C43" s="235">
        <v>4.34</v>
      </c>
      <c r="D43" s="119"/>
      <c r="E43" s="119"/>
      <c r="F43" s="120">
        <f t="shared" si="1"/>
        <v>4.34</v>
      </c>
      <c r="G43" s="121">
        <v>0.01</v>
      </c>
      <c r="H43" s="120">
        <f t="shared" si="2"/>
        <v>4.3400000000000001E-2</v>
      </c>
      <c r="I43" s="120">
        <f t="shared" si="3"/>
        <v>1.0199E-2</v>
      </c>
      <c r="J43" s="120">
        <f t="shared" si="4"/>
        <v>5.3599000000000001E-2</v>
      </c>
      <c r="K43" s="126">
        <v>5</v>
      </c>
      <c r="L43" s="123">
        <f t="shared" si="5"/>
        <v>0.26799499999999998</v>
      </c>
      <c r="M43" s="120">
        <f t="shared" si="6"/>
        <v>0.48239099999999996</v>
      </c>
      <c r="N43" s="265" t="s">
        <v>277</v>
      </c>
    </row>
    <row r="44" spans="1:14" ht="18.600000000000001" customHeight="1" x14ac:dyDescent="0.25">
      <c r="A44" s="251">
        <v>34</v>
      </c>
      <c r="B44" s="252" t="s">
        <v>237</v>
      </c>
      <c r="C44" s="231">
        <v>4.9800000000000004</v>
      </c>
      <c r="D44" s="119"/>
      <c r="E44" s="119"/>
      <c r="F44" s="120">
        <f t="shared" si="1"/>
        <v>4.9800000000000004</v>
      </c>
      <c r="G44" s="121">
        <v>0.01</v>
      </c>
      <c r="H44" s="120">
        <f t="shared" si="2"/>
        <v>4.9800000000000004E-2</v>
      </c>
      <c r="I44" s="120">
        <f t="shared" si="3"/>
        <v>1.1703E-2</v>
      </c>
      <c r="J44" s="120">
        <f t="shared" si="4"/>
        <v>6.1503000000000002E-2</v>
      </c>
      <c r="K44" s="126">
        <v>3</v>
      </c>
      <c r="L44" s="123">
        <f t="shared" si="5"/>
        <v>0.18450900000000001</v>
      </c>
      <c r="M44" s="120">
        <f t="shared" si="6"/>
        <v>0.33211620000000003</v>
      </c>
      <c r="N44" s="264" t="s">
        <v>277</v>
      </c>
    </row>
    <row r="45" spans="1:14" ht="18.600000000000001" customHeight="1" x14ac:dyDescent="0.25">
      <c r="A45" s="251">
        <v>35</v>
      </c>
      <c r="B45" s="253" t="s">
        <v>243</v>
      </c>
      <c r="C45" s="231">
        <v>3.99</v>
      </c>
      <c r="D45" s="119"/>
      <c r="E45" s="119"/>
      <c r="F45" s="120">
        <f t="shared" si="1"/>
        <v>3.99</v>
      </c>
      <c r="G45" s="121">
        <v>0.01</v>
      </c>
      <c r="H45" s="120">
        <f t="shared" si="2"/>
        <v>3.9900000000000005E-2</v>
      </c>
      <c r="I45" s="120">
        <f t="shared" si="3"/>
        <v>9.3765000000000012E-3</v>
      </c>
      <c r="J45" s="120">
        <f t="shared" si="4"/>
        <v>4.9276500000000008E-2</v>
      </c>
      <c r="K45" s="126">
        <v>2</v>
      </c>
      <c r="L45" s="123">
        <f t="shared" si="5"/>
        <v>9.8553000000000016E-2</v>
      </c>
      <c r="M45" s="120">
        <f t="shared" si="6"/>
        <v>0.17739540000000004</v>
      </c>
      <c r="N45" s="265" t="s">
        <v>278</v>
      </c>
    </row>
    <row r="46" spans="1:14" ht="18.600000000000001" customHeight="1" x14ac:dyDescent="0.25">
      <c r="A46" s="251">
        <v>36</v>
      </c>
      <c r="B46" s="253" t="s">
        <v>222</v>
      </c>
      <c r="C46" s="231">
        <v>5.36</v>
      </c>
      <c r="D46" s="119"/>
      <c r="E46" s="119"/>
      <c r="F46" s="120">
        <f t="shared" si="1"/>
        <v>5.36</v>
      </c>
      <c r="G46" s="121">
        <v>0.01</v>
      </c>
      <c r="H46" s="120">
        <f t="shared" si="2"/>
        <v>5.3600000000000002E-2</v>
      </c>
      <c r="I46" s="120">
        <f t="shared" si="3"/>
        <v>1.2596E-2</v>
      </c>
      <c r="J46" s="120">
        <f t="shared" si="4"/>
        <v>6.6196000000000005E-2</v>
      </c>
      <c r="K46" s="126">
        <v>1</v>
      </c>
      <c r="L46" s="123">
        <f t="shared" si="5"/>
        <v>6.6196000000000005E-2</v>
      </c>
      <c r="M46" s="120">
        <f t="shared" si="6"/>
        <v>0.11915280000000002</v>
      </c>
      <c r="N46" s="266" t="s">
        <v>279</v>
      </c>
    </row>
    <row r="47" spans="1:14" ht="18.600000000000001" customHeight="1" x14ac:dyDescent="0.25">
      <c r="A47" s="251">
        <v>37</v>
      </c>
      <c r="B47" s="253" t="s">
        <v>224</v>
      </c>
      <c r="C47" s="233">
        <v>4.34</v>
      </c>
      <c r="D47" s="119"/>
      <c r="E47" s="119"/>
      <c r="F47" s="120">
        <f t="shared" si="1"/>
        <v>4.34</v>
      </c>
      <c r="G47" s="121">
        <v>0.01</v>
      </c>
      <c r="H47" s="120">
        <f t="shared" si="2"/>
        <v>4.3400000000000001E-2</v>
      </c>
      <c r="I47" s="120">
        <f t="shared" si="3"/>
        <v>1.0199E-2</v>
      </c>
      <c r="J47" s="120">
        <f t="shared" si="4"/>
        <v>5.3599000000000001E-2</v>
      </c>
      <c r="K47" s="126">
        <v>1</v>
      </c>
      <c r="L47" s="123">
        <f t="shared" si="5"/>
        <v>5.3599000000000001E-2</v>
      </c>
      <c r="M47" s="120">
        <f t="shared" si="6"/>
        <v>9.64782E-2</v>
      </c>
      <c r="N47" s="265" t="s">
        <v>279</v>
      </c>
    </row>
    <row r="48" spans="1:14" ht="21" customHeight="1" x14ac:dyDescent="0.25">
      <c r="A48" s="251">
        <v>38</v>
      </c>
      <c r="B48" s="253" t="s">
        <v>233</v>
      </c>
      <c r="C48" s="231">
        <v>4.8899999999999997</v>
      </c>
      <c r="D48" s="119"/>
      <c r="E48" s="119"/>
      <c r="F48" s="120">
        <f t="shared" ref="F48" si="15">C48+D48+E48</f>
        <v>4.8899999999999997</v>
      </c>
      <c r="G48" s="121">
        <v>0.01</v>
      </c>
      <c r="H48" s="120">
        <f t="shared" ref="H48" si="16">F48*G48</f>
        <v>4.8899999999999999E-2</v>
      </c>
      <c r="I48" s="120">
        <f t="shared" ref="I48" si="17">H48*23.5%</f>
        <v>1.14915E-2</v>
      </c>
      <c r="J48" s="120">
        <f t="shared" ref="J48" si="18">H48+I48</f>
        <v>6.0391500000000001E-2</v>
      </c>
      <c r="K48" s="126">
        <v>2</v>
      </c>
      <c r="L48" s="123">
        <f t="shared" ref="L48" si="19">J48*K48</f>
        <v>0.120783</v>
      </c>
      <c r="M48" s="120">
        <f>L48*1.8</f>
        <v>0.2174094</v>
      </c>
      <c r="N48" s="265" t="s">
        <v>279</v>
      </c>
    </row>
    <row r="49" spans="1:14" ht="20.25" customHeight="1" x14ac:dyDescent="0.25">
      <c r="A49" s="363"/>
      <c r="B49" s="363"/>
      <c r="C49" s="274"/>
      <c r="D49" s="274"/>
      <c r="E49" s="274"/>
      <c r="F49" s="113"/>
      <c r="G49" s="113"/>
      <c r="H49" s="113"/>
      <c r="I49" s="364" t="s">
        <v>283</v>
      </c>
      <c r="J49" s="364"/>
      <c r="K49" s="364"/>
      <c r="L49" s="364"/>
      <c r="M49" s="364"/>
      <c r="N49" s="364"/>
    </row>
    <row r="50" spans="1:14" ht="16.5" x14ac:dyDescent="0.25">
      <c r="A50" s="363" t="s">
        <v>155</v>
      </c>
      <c r="B50" s="363"/>
      <c r="C50" s="274"/>
      <c r="D50" s="274"/>
      <c r="E50" s="274"/>
      <c r="F50" s="113"/>
      <c r="G50" s="113"/>
      <c r="H50" s="113"/>
      <c r="I50" s="363" t="s">
        <v>71</v>
      </c>
      <c r="J50" s="363"/>
      <c r="K50" s="363"/>
      <c r="L50" s="363"/>
      <c r="M50" s="363"/>
      <c r="N50" s="363"/>
    </row>
    <row r="51" spans="1:14" ht="16.5" x14ac:dyDescent="0.25">
      <c r="A51" s="114"/>
      <c r="B51" s="114"/>
      <c r="C51" s="114"/>
      <c r="D51" s="114"/>
      <c r="E51" s="114"/>
      <c r="F51" s="113"/>
      <c r="G51" s="113"/>
      <c r="H51" s="113"/>
      <c r="I51" s="364"/>
      <c r="J51" s="364"/>
      <c r="K51" s="364"/>
      <c r="L51" s="364"/>
      <c r="M51" s="364"/>
      <c r="N51" s="364"/>
    </row>
    <row r="52" spans="1:14" ht="16.5" x14ac:dyDescent="0.25">
      <c r="A52" s="114"/>
      <c r="B52" s="114"/>
      <c r="C52" s="114"/>
      <c r="D52" s="114"/>
      <c r="E52" s="114"/>
      <c r="F52" s="113"/>
      <c r="G52" s="113"/>
      <c r="H52" s="113"/>
      <c r="I52" s="114"/>
      <c r="J52" s="114"/>
      <c r="K52" s="114"/>
      <c r="L52" s="275"/>
      <c r="M52" s="114"/>
      <c r="N52" s="114"/>
    </row>
    <row r="53" spans="1:14" ht="16.5" x14ac:dyDescent="0.25">
      <c r="A53" s="114"/>
      <c r="B53" s="114"/>
      <c r="C53" s="114"/>
      <c r="D53" s="114"/>
      <c r="E53" s="114"/>
      <c r="F53" s="113"/>
      <c r="G53" s="113"/>
      <c r="H53" s="113"/>
      <c r="I53" s="114"/>
      <c r="J53" s="114"/>
      <c r="K53" s="114"/>
      <c r="L53" s="114"/>
      <c r="M53" s="114"/>
      <c r="N53" s="114"/>
    </row>
    <row r="54" spans="1:14" ht="16.5" x14ac:dyDescent="0.25">
      <c r="A54" s="114"/>
      <c r="B54" s="114"/>
      <c r="C54" s="114"/>
      <c r="D54" s="114"/>
      <c r="E54" s="114"/>
      <c r="F54" s="113"/>
      <c r="G54" s="113"/>
      <c r="H54" s="113"/>
      <c r="I54" s="114"/>
      <c r="J54" s="114"/>
      <c r="K54" s="114"/>
      <c r="L54" s="114"/>
      <c r="M54" s="114"/>
      <c r="N54" s="114"/>
    </row>
    <row r="55" spans="1:14" ht="16.5" x14ac:dyDescent="0.25">
      <c r="A55" s="358" t="s">
        <v>258</v>
      </c>
      <c r="B55" s="358"/>
      <c r="C55" s="273"/>
      <c r="D55" s="273"/>
      <c r="E55" s="273"/>
      <c r="F55" s="173"/>
      <c r="G55" s="173"/>
      <c r="H55" s="173"/>
      <c r="I55" s="358" t="s">
        <v>219</v>
      </c>
      <c r="J55" s="358"/>
      <c r="K55" s="358"/>
      <c r="L55" s="358"/>
      <c r="M55" s="358"/>
      <c r="N55" s="358"/>
    </row>
    <row r="56" spans="1:14" ht="16.5" x14ac:dyDescent="0.25">
      <c r="A56" s="358"/>
      <c r="B56" s="358"/>
      <c r="C56" s="172"/>
      <c r="D56" s="172"/>
      <c r="E56" s="172"/>
      <c r="F56" s="173"/>
      <c r="G56" s="173"/>
      <c r="H56" s="173"/>
      <c r="I56" s="358"/>
      <c r="J56" s="358"/>
      <c r="K56" s="358"/>
      <c r="L56" s="358"/>
      <c r="M56" s="358"/>
      <c r="N56" s="358"/>
    </row>
    <row r="57" spans="1:14" ht="16.5" x14ac:dyDescent="0.25">
      <c r="A57" s="365"/>
      <c r="B57" s="365"/>
      <c r="C57" s="115"/>
      <c r="D57" s="115"/>
      <c r="E57" s="115"/>
      <c r="F57" s="113"/>
      <c r="G57" s="113"/>
      <c r="H57" s="113"/>
      <c r="I57" s="365"/>
      <c r="J57" s="365"/>
      <c r="K57" s="365"/>
      <c r="L57" s="365"/>
      <c r="M57" s="365"/>
      <c r="N57" s="365"/>
    </row>
    <row r="58" spans="1:14" ht="16.5" x14ac:dyDescent="0.25">
      <c r="A58" s="113"/>
      <c r="B58" s="113"/>
      <c r="C58" s="113"/>
      <c r="D58" s="113"/>
      <c r="E58" s="113"/>
      <c r="F58" s="113"/>
      <c r="G58" s="113"/>
      <c r="H58" s="113"/>
      <c r="I58" s="113"/>
      <c r="J58" s="113"/>
      <c r="K58" s="113"/>
      <c r="L58" s="113"/>
      <c r="M58" s="113"/>
      <c r="N58" s="113"/>
    </row>
    <row r="59" spans="1:14" ht="16.5" x14ac:dyDescent="0.25">
      <c r="A59" s="113"/>
      <c r="B59" s="113"/>
      <c r="C59" s="113"/>
      <c r="D59" s="113"/>
      <c r="E59" s="113"/>
      <c r="F59" s="113"/>
      <c r="G59" s="113"/>
      <c r="H59" s="113"/>
      <c r="I59" s="113"/>
      <c r="J59" s="113"/>
      <c r="K59" s="113"/>
      <c r="L59" s="113"/>
      <c r="M59" s="113"/>
      <c r="N59" s="113"/>
    </row>
    <row r="60" spans="1:14" ht="16.5" x14ac:dyDescent="0.25">
      <c r="A60" s="113"/>
      <c r="B60" s="113"/>
      <c r="C60" s="113"/>
      <c r="D60" s="113"/>
      <c r="E60" s="113"/>
      <c r="F60" s="113"/>
      <c r="G60" s="113"/>
      <c r="H60" s="113"/>
      <c r="I60" s="113"/>
      <c r="J60" s="113"/>
      <c r="K60" s="113"/>
      <c r="L60" s="113"/>
      <c r="M60" s="113"/>
      <c r="N60" s="113"/>
    </row>
    <row r="61" spans="1:14" ht="16.5" x14ac:dyDescent="0.25">
      <c r="A61" s="113"/>
      <c r="B61" s="113"/>
      <c r="C61" s="113"/>
      <c r="D61" s="113"/>
      <c r="E61" s="113"/>
      <c r="F61" s="113"/>
      <c r="G61" s="113"/>
      <c r="H61" s="113"/>
      <c r="I61" s="113"/>
      <c r="J61" s="113"/>
      <c r="K61" s="113"/>
      <c r="L61" s="113"/>
      <c r="M61" s="113"/>
      <c r="N61" s="113"/>
    </row>
  </sheetData>
  <mergeCells count="29">
    <mergeCell ref="A57:B57"/>
    <mergeCell ref="I57:N57"/>
    <mergeCell ref="K6:K8"/>
    <mergeCell ref="L6:L8"/>
    <mergeCell ref="M6:M8"/>
    <mergeCell ref="N6:N8"/>
    <mergeCell ref="G7:G8"/>
    <mergeCell ref="H7:H8"/>
    <mergeCell ref="I7:I8"/>
    <mergeCell ref="J7:J8"/>
    <mergeCell ref="A49:B49"/>
    <mergeCell ref="I49:N49"/>
    <mergeCell ref="A50:B50"/>
    <mergeCell ref="I50:N50"/>
    <mergeCell ref="I51:N51"/>
    <mergeCell ref="A56:B56"/>
    <mergeCell ref="I56:N56"/>
    <mergeCell ref="A1:D1"/>
    <mergeCell ref="A2:D2"/>
    <mergeCell ref="A4:N4"/>
    <mergeCell ref="A6:A8"/>
    <mergeCell ref="B6:B8"/>
    <mergeCell ref="C6:C8"/>
    <mergeCell ref="D6:D8"/>
    <mergeCell ref="E6:E8"/>
    <mergeCell ref="F6:F8"/>
    <mergeCell ref="G6:J6"/>
    <mergeCell ref="A55:B55"/>
    <mergeCell ref="I55:N55"/>
  </mergeCells>
  <pageMargins left="0.2" right="0.2" top="0.33" bottom="0.21" header="0.31496062992125984" footer="0.31496062992125984"/>
  <pageSetup paperSize="9" orientation="landscape"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TC-01-2024</vt:lpstr>
      <vt:lpstr>TC-01-2025</vt:lpstr>
      <vt:lpstr>HP 2024</vt:lpstr>
      <vt:lpstr>HP 2025</vt:lpstr>
      <vt:lpstr>PA GĐ 2024-2025 </vt:lpstr>
      <vt:lpstr>Nâng lương 2024</vt:lpstr>
      <vt:lpstr>Nâng lương 2025 </vt:lpstr>
      <vt:lpstr>Nâng TNN 2024</vt:lpstr>
      <vt:lpstr>Nâng TNN 2025</vt:lpstr>
      <vt:lpstr>'PA GĐ 2024-2025 '!Print_Area</vt:lpstr>
      <vt:lpstr>'PA GĐ 2024-2025 '!Print_Titles</vt:lpstr>
      <vt:lpstr>'TC-01-2024'!Print_Titles</vt:lpstr>
      <vt:lpstr>'TC-01-2025'!Print_Titles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welcome</cp:lastModifiedBy>
  <cp:lastPrinted>2024-10-04T03:30:13Z</cp:lastPrinted>
  <dcterms:created xsi:type="dcterms:W3CDTF">2022-10-04T02:24:22Z</dcterms:created>
  <dcterms:modified xsi:type="dcterms:W3CDTF">2024-10-04T03:30:38Z</dcterms:modified>
</cp:coreProperties>
</file>